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tabRatio="771"/>
  </bookViews>
  <sheets>
    <sheet name="PROPOSTA" sheetId="13" r:id="rId1"/>
    <sheet name="SERVENTE REAL" sheetId="8" r:id="rId2"/>
    <sheet name="SERVENTE REAL - banherista" sheetId="17" r:id="rId3"/>
    <sheet name="ENCARREGADO" sheetId="15" r:id="rId4"/>
    <sheet name="VI - Demonstrativo final-REAL" sheetId="9" r:id="rId5"/>
    <sheet name="Transporte e alimentação" sheetId="14" r:id="rId6"/>
    <sheet name="Materiais e Uniformes" sheetId="16" r:id="rId7"/>
  </sheets>
  <definedNames>
    <definedName name="__BDI2" localSheetId="3">#REF!</definedName>
    <definedName name="__BDI2" localSheetId="2">#REF!</definedName>
    <definedName name="__BDI2">#REF!</definedName>
    <definedName name="_BDI2" localSheetId="3">#REF!</definedName>
    <definedName name="_BDI2" localSheetId="2">#REF!</definedName>
    <definedName name="_BDI2">#REF!</definedName>
    <definedName name="_xlnm.Print_Area" localSheetId="3">ENCARREGADO!$A$1:$I$144</definedName>
    <definedName name="_xlnm.Print_Area" localSheetId="0">PROPOSTA!$A$1:$H$19</definedName>
    <definedName name="_xlnm.Print_Area" localSheetId="1">'SERVENTE REAL'!$A$1:$I$164</definedName>
    <definedName name="_xlnm.Print_Area" localSheetId="2">'SERVENTE REAL - banherista'!$A$1:$I$164</definedName>
    <definedName name="_xlnm.Print_Area" localSheetId="5">'Transporte e alimentação'!$A$1:$F$15</definedName>
    <definedName name="_xlnm.Print_Area" localSheetId="4">'VI - Demonstrativo final-REAL'!$A$1:$K$63</definedName>
    <definedName name="BDI" localSheetId="3">#REF!</definedName>
    <definedName name="BDI" localSheetId="2">#REF!</definedName>
    <definedName name="BDI">#REF!</definedName>
    <definedName name="DifBDI" localSheetId="3">#REF!</definedName>
    <definedName name="DifBDI" localSheetId="2">#REF!</definedName>
    <definedName name="DifBDI">#REF!</definedName>
    <definedName name="DifBDI2" localSheetId="3">#REF!</definedName>
    <definedName name="DifBDI2" localSheetId="2">#REF!</definedName>
    <definedName name="DifBDI2">#REF!</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5" i="14" l="1"/>
  <c r="D14" i="14"/>
  <c r="F14" i="14" s="1"/>
  <c r="I59" i="15"/>
  <c r="I59" i="17"/>
  <c r="I59" i="8"/>
  <c r="F15" i="14" l="1"/>
  <c r="I58" i="15"/>
  <c r="I58" i="17"/>
  <c r="F83" i="16"/>
  <c r="F84" i="16"/>
  <c r="F85" i="16"/>
  <c r="F86" i="16"/>
  <c r="F87" i="16"/>
  <c r="F88" i="16"/>
  <c r="F89" i="16"/>
  <c r="F90" i="16"/>
  <c r="F91" i="16"/>
  <c r="F92" i="16"/>
  <c r="F93" i="16"/>
  <c r="F96" i="16"/>
  <c r="F97" i="16"/>
  <c r="F98" i="16"/>
  <c r="F99" i="16"/>
  <c r="F100" i="16"/>
  <c r="F101" i="16"/>
  <c r="F102" i="16"/>
  <c r="F103" i="16"/>
  <c r="F104" i="16"/>
  <c r="F105" i="16"/>
  <c r="F106" i="16"/>
  <c r="F107" i="16"/>
  <c r="F108" i="16"/>
  <c r="F111" i="16"/>
  <c r="F112" i="16"/>
  <c r="F113" i="16"/>
  <c r="F115" i="16"/>
  <c r="F116" i="16"/>
  <c r="F117" i="16"/>
  <c r="F118" i="16"/>
  <c r="F119" i="16"/>
  <c r="F120" i="16"/>
  <c r="F121" i="16"/>
  <c r="F122" i="16"/>
  <c r="F82" i="16"/>
  <c r="I58" i="8"/>
  <c r="H142" i="16"/>
  <c r="H143" i="16"/>
  <c r="H145" i="16"/>
  <c r="G145" i="16" s="1"/>
  <c r="H139" i="16"/>
  <c r="H132" i="16"/>
  <c r="G132" i="16" s="1"/>
  <c r="F37" i="16"/>
  <c r="F38" i="16"/>
  <c r="F39" i="16"/>
  <c r="F40" i="16"/>
  <c r="F41" i="16"/>
  <c r="F42" i="16"/>
  <c r="F43" i="16"/>
  <c r="F44" i="16"/>
  <c r="F45" i="16"/>
  <c r="F46" i="16"/>
  <c r="F47" i="16"/>
  <c r="F48" i="16"/>
  <c r="F49" i="16"/>
  <c r="F50" i="16"/>
  <c r="F51" i="16"/>
  <c r="F52" i="16"/>
  <c r="F36" i="16"/>
  <c r="H13" i="16"/>
  <c r="H12" i="16"/>
  <c r="G143" i="16"/>
  <c r="G142" i="16"/>
  <c r="F75" i="16"/>
  <c r="F74" i="16"/>
  <c r="F73" i="16"/>
  <c r="F72" i="16"/>
  <c r="F71" i="16"/>
  <c r="F70" i="16"/>
  <c r="F69" i="16"/>
  <c r="F68" i="16"/>
  <c r="F67" i="16"/>
  <c r="F66" i="16"/>
  <c r="F65" i="16"/>
  <c r="F64" i="16"/>
  <c r="F63" i="16"/>
  <c r="F62" i="16"/>
  <c r="F61" i="16"/>
  <c r="F60" i="16"/>
  <c r="F59" i="16"/>
  <c r="F58" i="16"/>
  <c r="F57" i="16"/>
  <c r="F56" i="16"/>
  <c r="F55" i="16"/>
  <c r="F54" i="16"/>
  <c r="F53" i="16"/>
  <c r="H29" i="16"/>
  <c r="H28" i="16"/>
  <c r="H27" i="16"/>
  <c r="H26" i="16"/>
  <c r="H25" i="16"/>
  <c r="H24" i="16"/>
  <c r="H23" i="16"/>
  <c r="H22" i="16"/>
  <c r="H21" i="16"/>
  <c r="H20" i="16"/>
  <c r="H19" i="16"/>
  <c r="H18" i="16"/>
  <c r="H17" i="16"/>
  <c r="H16" i="16"/>
  <c r="H15" i="16"/>
  <c r="H14" i="16"/>
  <c r="I29" i="17"/>
  <c r="G139" i="16" l="1"/>
  <c r="F76" i="16"/>
  <c r="F77" i="16" s="1"/>
  <c r="F78" i="16" s="1"/>
  <c r="H30" i="16"/>
  <c r="J21" i="16"/>
  <c r="I21" i="16"/>
  <c r="J14" i="16"/>
  <c r="I14" i="16"/>
  <c r="J18" i="16"/>
  <c r="I18" i="16"/>
  <c r="J22" i="16"/>
  <c r="I22" i="16"/>
  <c r="J26" i="16"/>
  <c r="I26" i="16"/>
  <c r="J15" i="16"/>
  <c r="I15" i="16"/>
  <c r="J23" i="16"/>
  <c r="I23" i="16"/>
  <c r="J27" i="16"/>
  <c r="I27" i="16"/>
  <c r="J13" i="16"/>
  <c r="I13" i="16"/>
  <c r="J17" i="16"/>
  <c r="I17" i="16"/>
  <c r="J19" i="16"/>
  <c r="I19" i="16"/>
  <c r="J12" i="16"/>
  <c r="I12" i="16"/>
  <c r="J16" i="16"/>
  <c r="I16" i="16"/>
  <c r="J20" i="16"/>
  <c r="I20" i="16"/>
  <c r="J24" i="16"/>
  <c r="I24" i="16"/>
  <c r="J28" i="16"/>
  <c r="I28" i="16"/>
  <c r="J25" i="16"/>
  <c r="I25" i="16"/>
  <c r="J29" i="16"/>
  <c r="I29" i="16"/>
  <c r="D7" i="14"/>
  <c r="I111" i="17" l="1"/>
  <c r="I111" i="8"/>
  <c r="I30" i="16"/>
  <c r="J30" i="16"/>
  <c r="D8" i="9"/>
  <c r="J31" i="16" l="1"/>
  <c r="J32" i="16" s="1"/>
  <c r="I110" i="17" l="1"/>
  <c r="I110" i="8"/>
  <c r="H93" i="15"/>
  <c r="H92" i="15"/>
  <c r="H91" i="15"/>
  <c r="H90" i="15"/>
  <c r="H89" i="15"/>
  <c r="H88" i="15"/>
  <c r="I88" i="15" s="1"/>
  <c r="H93" i="17"/>
  <c r="H92" i="17"/>
  <c r="H91" i="17"/>
  <c r="H90" i="17"/>
  <c r="H89" i="17"/>
  <c r="H88" i="17"/>
  <c r="I88" i="17" s="1"/>
  <c r="H94" i="15" l="1"/>
  <c r="H94" i="17"/>
  <c r="H93" i="8"/>
  <c r="H91" i="8"/>
  <c r="H90" i="8"/>
  <c r="H89" i="8"/>
  <c r="H88" i="8"/>
  <c r="I62" i="15" l="1"/>
  <c r="I69" i="15" s="1"/>
  <c r="B143" i="15"/>
  <c r="B141" i="15"/>
  <c r="B140" i="15"/>
  <c r="B139" i="15"/>
  <c r="B138" i="15"/>
  <c r="B137" i="15"/>
  <c r="H133" i="15"/>
  <c r="H122" i="15"/>
  <c r="H132" i="15" s="1"/>
  <c r="H99" i="15"/>
  <c r="H80" i="15"/>
  <c r="H78" i="15"/>
  <c r="H77" i="15"/>
  <c r="H75" i="15"/>
  <c r="H76" i="15" s="1"/>
  <c r="H54" i="15"/>
  <c r="H79" i="15" s="1"/>
  <c r="L41" i="15"/>
  <c r="H39" i="15"/>
  <c r="I39" i="15" s="1"/>
  <c r="I38" i="15"/>
  <c r="H38" i="15"/>
  <c r="I29" i="15"/>
  <c r="I33" i="15" s="1"/>
  <c r="I92" i="15" s="1"/>
  <c r="I160" i="17"/>
  <c r="I159" i="17"/>
  <c r="I153" i="17"/>
  <c r="I143" i="17"/>
  <c r="B143" i="17"/>
  <c r="B141" i="17"/>
  <c r="B140" i="17"/>
  <c r="B139" i="17"/>
  <c r="B138" i="17"/>
  <c r="B137" i="17"/>
  <c r="H133" i="17"/>
  <c r="H122" i="17"/>
  <c r="H99" i="17"/>
  <c r="H80" i="17"/>
  <c r="H78" i="17"/>
  <c r="H77" i="17"/>
  <c r="H75" i="17"/>
  <c r="H76" i="17" s="1"/>
  <c r="I62" i="17"/>
  <c r="I69" i="17" s="1"/>
  <c r="H54" i="17"/>
  <c r="H79" i="17" s="1"/>
  <c r="I33" i="17"/>
  <c r="I88" i="8"/>
  <c r="I38" i="17" l="1"/>
  <c r="I92" i="17"/>
  <c r="H40" i="15"/>
  <c r="I40" i="15" s="1"/>
  <c r="I67" i="15" s="1"/>
  <c r="I39" i="17"/>
  <c r="I137" i="15"/>
  <c r="I98" i="15"/>
  <c r="I99" i="15" s="1"/>
  <c r="I104" i="15" s="1"/>
  <c r="H81" i="15"/>
  <c r="I137" i="17"/>
  <c r="I98" i="17"/>
  <c r="I99" i="17" s="1"/>
  <c r="I104" i="17" s="1"/>
  <c r="H81" i="17"/>
  <c r="H132" i="17"/>
  <c r="I44" i="15" l="1"/>
  <c r="I53" i="15" s="1"/>
  <c r="I73" i="15"/>
  <c r="I79" i="15" s="1"/>
  <c r="I40" i="17"/>
  <c r="I47" i="15"/>
  <c r="I80" i="15" l="1"/>
  <c r="I52" i="15"/>
  <c r="I46" i="15"/>
  <c r="I75" i="15"/>
  <c r="I50" i="15"/>
  <c r="I49" i="15"/>
  <c r="I48" i="15"/>
  <c r="I76" i="15"/>
  <c r="I77" i="15"/>
  <c r="I78" i="15"/>
  <c r="I51" i="15"/>
  <c r="I67" i="17"/>
  <c r="I73" i="17"/>
  <c r="I44" i="17"/>
  <c r="I81" i="15" l="1"/>
  <c r="I139" i="15" s="1"/>
  <c r="I54" i="15"/>
  <c r="I68" i="15" s="1"/>
  <c r="I70" i="15" s="1"/>
  <c r="I138" i="15" s="1"/>
  <c r="I78" i="17"/>
  <c r="I75" i="17"/>
  <c r="I76" i="17"/>
  <c r="I77" i="17"/>
  <c r="I79" i="17"/>
  <c r="I80" i="17"/>
  <c r="I51" i="17"/>
  <c r="I48" i="17"/>
  <c r="I53" i="17"/>
  <c r="I47" i="17"/>
  <c r="I49" i="17"/>
  <c r="I50" i="17"/>
  <c r="I52" i="17"/>
  <c r="I46" i="17"/>
  <c r="I86" i="15" l="1"/>
  <c r="I91" i="15" s="1"/>
  <c r="I81" i="17"/>
  <c r="I139" i="17" s="1"/>
  <c r="I54" i="17"/>
  <c r="I68" i="17" s="1"/>
  <c r="I70" i="17" s="1"/>
  <c r="I89" i="15" l="1"/>
  <c r="I90" i="15"/>
  <c r="I93" i="15"/>
  <c r="I138" i="17"/>
  <c r="I86" i="17"/>
  <c r="I94" i="15" l="1"/>
  <c r="I105" i="15" s="1"/>
  <c r="I93" i="17"/>
  <c r="I89" i="17"/>
  <c r="I90" i="17"/>
  <c r="I91" i="17"/>
  <c r="I103" i="15" l="1"/>
  <c r="I94" i="17"/>
  <c r="I140" i="15"/>
  <c r="I105" i="17" l="1"/>
  <c r="I140" i="17" s="1"/>
  <c r="I103" i="17"/>
  <c r="D114" i="16" l="1"/>
  <c r="F114" i="16" s="1"/>
  <c r="D110" i="16"/>
  <c r="F110" i="16" s="1"/>
  <c r="D109" i="16"/>
  <c r="F109" i="16" s="1"/>
  <c r="D95" i="16"/>
  <c r="F95" i="16" s="1"/>
  <c r="E147" i="16" l="1"/>
  <c r="H147" i="16" s="1"/>
  <c r="G147" i="16" s="1"/>
  <c r="E146" i="16"/>
  <c r="H146" i="16" s="1"/>
  <c r="G146" i="16" s="1"/>
  <c r="E144" i="16"/>
  <c r="H144" i="16" s="1"/>
  <c r="G144" i="16" s="1"/>
  <c r="E141" i="16"/>
  <c r="H141" i="16" s="1"/>
  <c r="G141" i="16" s="1"/>
  <c r="E140" i="16"/>
  <c r="H140" i="16" s="1"/>
  <c r="E134" i="16"/>
  <c r="H134" i="16" s="1"/>
  <c r="G134" i="16" s="1"/>
  <c r="E133" i="16"/>
  <c r="H133" i="16" s="1"/>
  <c r="G133" i="16" s="1"/>
  <c r="E131" i="16"/>
  <c r="H131" i="16" s="1"/>
  <c r="G131" i="16" s="1"/>
  <c r="E130" i="16"/>
  <c r="H130" i="16" s="1"/>
  <c r="G130" i="16" s="1"/>
  <c r="E129" i="16"/>
  <c r="H129" i="16" s="1"/>
  <c r="D94" i="16"/>
  <c r="F94" i="16" s="1"/>
  <c r="G140" i="16" l="1"/>
  <c r="G148" i="16" s="1"/>
  <c r="H148" i="16"/>
  <c r="G129" i="16"/>
  <c r="G135" i="16" s="1"/>
  <c r="I109" i="15" s="1"/>
  <c r="H135" i="16"/>
  <c r="F123" i="16"/>
  <c r="F124" i="16" s="1"/>
  <c r="F125" i="16" s="1"/>
  <c r="I112" i="17" l="1"/>
  <c r="I112" i="8"/>
  <c r="I109" i="17"/>
  <c r="I109" i="8"/>
  <c r="I113" i="15"/>
  <c r="E8" i="14"/>
  <c r="E7" i="14"/>
  <c r="D32" i="9"/>
  <c r="D31" i="9"/>
  <c r="F52" i="9"/>
  <c r="I113" i="17" l="1"/>
  <c r="I141" i="17" s="1"/>
  <c r="I142" i="17" s="1"/>
  <c r="I144" i="17" s="1"/>
  <c r="I141" i="15"/>
  <c r="I116" i="15"/>
  <c r="I116" i="17" l="1"/>
  <c r="I120" i="17" s="1"/>
  <c r="I121" i="17" s="1"/>
  <c r="I133" i="17" s="1"/>
  <c r="I142" i="15"/>
  <c r="I120" i="15"/>
  <c r="I164" i="17" l="1"/>
  <c r="I122" i="17"/>
  <c r="I158" i="17" s="1"/>
  <c r="I161" i="17" s="1"/>
  <c r="I121" i="15"/>
  <c r="I133" i="15" s="1"/>
  <c r="D8" i="14"/>
  <c r="F8" i="14" s="1"/>
  <c r="I132" i="17" l="1"/>
  <c r="I163" i="17" s="1"/>
  <c r="I122" i="15"/>
  <c r="L41" i="8"/>
  <c r="I132" i="15" l="1"/>
  <c r="I143" i="15" l="1"/>
  <c r="I144" i="15" s="1"/>
  <c r="C174" i="8" l="1"/>
  <c r="E20" i="9"/>
  <c r="E8" i="9"/>
  <c r="H39" i="9"/>
  <c r="E17" i="9"/>
  <c r="E32" i="9"/>
  <c r="E14" i="9"/>
  <c r="E27" i="9"/>
  <c r="E11" i="9"/>
  <c r="H75" i="8"/>
  <c r="H78" i="8"/>
  <c r="H80" i="8"/>
  <c r="H77" i="8" l="1"/>
  <c r="H122" i="8"/>
  <c r="H132" i="8" s="1"/>
  <c r="D39" i="9" l="1"/>
  <c r="D27" i="9"/>
  <c r="D20" i="9"/>
  <c r="D17" i="9"/>
  <c r="D14" i="9"/>
  <c r="D11" i="9"/>
  <c r="D13" i="9" l="1"/>
  <c r="D10" i="9"/>
  <c r="I44" i="9"/>
  <c r="F38" i="9"/>
  <c r="F39" i="9"/>
  <c r="H133" i="8"/>
  <c r="H92" i="8"/>
  <c r="H94" i="8" s="1"/>
  <c r="H76" i="8"/>
  <c r="H40" i="8" l="1"/>
  <c r="G39" i="9" l="1"/>
  <c r="D38" i="9"/>
  <c r="E53" i="9" s="1"/>
  <c r="G38" i="9" l="1"/>
  <c r="D7" i="9"/>
  <c r="E44" i="9" s="1"/>
  <c r="G44" i="9" s="1"/>
  <c r="F53" i="9" l="1"/>
  <c r="G53" i="9" s="1"/>
  <c r="F49" i="9" l="1"/>
  <c r="F7" i="14" l="1"/>
  <c r="D26" i="9"/>
  <c r="D19" i="9"/>
  <c r="E48" i="9" s="1"/>
  <c r="G48" i="9" s="1"/>
  <c r="D16" i="9"/>
  <c r="E47" i="9" s="1"/>
  <c r="G47" i="9" s="1"/>
  <c r="E46" i="9"/>
  <c r="G46" i="9" s="1"/>
  <c r="E45" i="9"/>
  <c r="G45" i="9" s="1"/>
  <c r="I159" i="8"/>
  <c r="I153" i="8"/>
  <c r="B143" i="8"/>
  <c r="B141" i="8"/>
  <c r="B140" i="8"/>
  <c r="B139" i="8"/>
  <c r="B138" i="8"/>
  <c r="B137" i="8"/>
  <c r="H99" i="8"/>
  <c r="H54" i="8"/>
  <c r="G49" i="9" l="1"/>
  <c r="E50" i="9"/>
  <c r="G50" i="9" s="1"/>
  <c r="E51" i="9"/>
  <c r="G51" i="9" s="1"/>
  <c r="I62" i="8"/>
  <c r="I69" i="8" s="1"/>
  <c r="H79" i="8"/>
  <c r="H81" i="8" s="1"/>
  <c r="I29" i="8"/>
  <c r="I33" i="8" s="1"/>
  <c r="I39" i="8" l="1"/>
  <c r="I38" i="8"/>
  <c r="G52" i="9"/>
  <c r="G54" i="9" s="1"/>
  <c r="G56" i="9" s="1"/>
  <c r="I92" i="8"/>
  <c r="I137" i="8"/>
  <c r="I113" i="8"/>
  <c r="I98" i="8"/>
  <c r="I99" i="8" s="1"/>
  <c r="I104" i="8" s="1"/>
  <c r="I40" i="8" l="1"/>
  <c r="I44" i="8" s="1"/>
  <c r="I46" i="8" s="1"/>
  <c r="I49" i="8" l="1"/>
  <c r="I73" i="8"/>
  <c r="I78" i="8" s="1"/>
  <c r="I67" i="8"/>
  <c r="I80" i="8" l="1"/>
  <c r="I75" i="8"/>
  <c r="I79" i="8"/>
  <c r="I76" i="8"/>
  <c r="I77" i="8"/>
  <c r="I50" i="8"/>
  <c r="I48" i="8"/>
  <c r="I47" i="8"/>
  <c r="I51" i="8"/>
  <c r="I53" i="8"/>
  <c r="I52" i="8"/>
  <c r="I81" i="8" l="1"/>
  <c r="I139" i="8" s="1"/>
  <c r="E174" i="8"/>
  <c r="F174" i="8" s="1"/>
  <c r="I54" i="8"/>
  <c r="I68" i="8" s="1"/>
  <c r="F32" i="9" l="1"/>
  <c r="G32" i="9" s="1"/>
  <c r="H32" i="9" s="1"/>
  <c r="F14" i="9"/>
  <c r="G14" i="9" s="1"/>
  <c r="H14" i="9" s="1"/>
  <c r="I70" i="8"/>
  <c r="I86" i="8" s="1"/>
  <c r="I93" i="8" s="1"/>
  <c r="I39" i="9"/>
  <c r="J39" i="9" s="1"/>
  <c r="F8" i="9"/>
  <c r="G8" i="9" s="1"/>
  <c r="F17" i="9"/>
  <c r="F27" i="9"/>
  <c r="G27" i="9" s="1"/>
  <c r="I138" i="8" l="1"/>
  <c r="H27" i="9"/>
  <c r="F11" i="9"/>
  <c r="G11" i="9" s="1"/>
  <c r="H11" i="9" s="1"/>
  <c r="F20" i="9"/>
  <c r="G20" i="9" s="1"/>
  <c r="H20" i="9" s="1"/>
  <c r="G17" i="9"/>
  <c r="H17" i="9" s="1"/>
  <c r="H8" i="9"/>
  <c r="I91" i="8"/>
  <c r="I89" i="8"/>
  <c r="I90" i="8"/>
  <c r="E19" i="9" l="1"/>
  <c r="C173" i="8"/>
  <c r="E173" i="8" s="1"/>
  <c r="F173" i="8" s="1"/>
  <c r="I94" i="8"/>
  <c r="K39" i="9"/>
  <c r="I103" i="8" l="1"/>
  <c r="I105" i="8"/>
  <c r="I140" i="8" s="1"/>
  <c r="I116" i="8" l="1"/>
  <c r="I120" i="8" l="1"/>
  <c r="I121" i="8" s="1"/>
  <c r="I141" i="8"/>
  <c r="I142" i="8" s="1"/>
  <c r="I133" i="8" l="1"/>
  <c r="I164" i="8" s="1"/>
  <c r="H38" i="9" s="1"/>
  <c r="I38" i="9" s="1"/>
  <c r="F19" i="9"/>
  <c r="E13" i="9" l="1"/>
  <c r="F13" i="9" s="1"/>
  <c r="E10" i="9"/>
  <c r="F10" i="9" s="1"/>
  <c r="F12" i="9" s="1"/>
  <c r="E31" i="9"/>
  <c r="F31" i="9" s="1"/>
  <c r="G31" i="9" s="1"/>
  <c r="H31" i="9" s="1"/>
  <c r="E16" i="9"/>
  <c r="F16" i="9" s="1"/>
  <c r="E7" i="9"/>
  <c r="F7" i="9" s="1"/>
  <c r="E26" i="9"/>
  <c r="F26" i="9" s="1"/>
  <c r="G26" i="9" s="1"/>
  <c r="C172" i="8"/>
  <c r="E172" i="8" s="1"/>
  <c r="E175" i="8" s="1"/>
  <c r="I122" i="8"/>
  <c r="I132" i="8" s="1"/>
  <c r="I163" i="8" s="1"/>
  <c r="J38" i="9"/>
  <c r="I40" i="9"/>
  <c r="F9" i="9" l="1"/>
  <c r="G9" i="9" s="1"/>
  <c r="H9" i="9" s="1"/>
  <c r="G7" i="9"/>
  <c r="H7" i="9" s="1"/>
  <c r="F33" i="9"/>
  <c r="G33" i="9" s="1"/>
  <c r="H33" i="9" s="1"/>
  <c r="F172" i="8"/>
  <c r="F175" i="8" s="1"/>
  <c r="J40" i="9"/>
  <c r="C169" i="8" l="1"/>
  <c r="F169" i="8" s="1"/>
  <c r="C150" i="15"/>
  <c r="F150" i="15" s="1"/>
  <c r="C169" i="17"/>
  <c r="F169" i="17" s="1"/>
  <c r="I158" i="8"/>
  <c r="I161" i="8" s="1"/>
  <c r="I160" i="8" l="1"/>
  <c r="I143" i="8"/>
  <c r="I144" i="8" s="1"/>
  <c r="G13" i="9" l="1"/>
  <c r="G19" i="9"/>
  <c r="H19" i="9" s="1"/>
  <c r="G16" i="9"/>
  <c r="H16" i="9" s="1"/>
  <c r="G15" i="9" l="1"/>
  <c r="H13" i="9"/>
  <c r="F28" i="9"/>
  <c r="G28" i="9" s="1"/>
  <c r="G34" i="9" s="1"/>
  <c r="H26" i="9"/>
  <c r="F21" i="9"/>
  <c r="F18" i="9"/>
  <c r="F15" i="9"/>
  <c r="C149" i="15" l="1"/>
  <c r="F149" i="15" s="1"/>
  <c r="C168" i="17"/>
  <c r="F168" i="17" s="1"/>
  <c r="H15" i="9"/>
  <c r="H34" i="9"/>
  <c r="C168" i="8"/>
  <c r="D61" i="9"/>
  <c r="G18" i="9"/>
  <c r="H18" i="9" s="1"/>
  <c r="G21" i="9"/>
  <c r="H21" i="9" s="1"/>
  <c r="G10" i="9"/>
  <c r="H28" i="9" l="1"/>
  <c r="F168" i="8"/>
  <c r="G61" i="9"/>
  <c r="H10" i="9"/>
  <c r="G12" i="9"/>
  <c r="K38" i="9"/>
  <c r="K40" i="9" s="1"/>
  <c r="H12" i="9" l="1"/>
  <c r="H22" i="9" s="1"/>
  <c r="G22" i="9"/>
  <c r="D62" i="9"/>
  <c r="G62" i="9" s="1"/>
  <c r="C167" i="17" l="1"/>
  <c r="C170" i="17" s="1"/>
  <c r="C148" i="15"/>
  <c r="D60" i="9"/>
  <c r="G60" i="9" s="1"/>
  <c r="G63" i="9" s="1"/>
  <c r="C167" i="8"/>
  <c r="F167" i="8" s="1"/>
  <c r="F170" i="8" s="1"/>
  <c r="F167" i="17" l="1"/>
  <c r="F170" i="17" s="1"/>
  <c r="C151" i="15"/>
  <c r="F148" i="15"/>
  <c r="F151" i="15" s="1"/>
  <c r="D63" i="9"/>
  <c r="F9" i="13" s="1"/>
  <c r="C170" i="8"/>
  <c r="F10" i="13" l="1"/>
  <c r="C17" i="13" s="1"/>
  <c r="G9" i="13"/>
  <c r="G10" i="13" s="1"/>
  <c r="D17" i="13" l="1"/>
  <c r="G17" i="13"/>
  <c r="H17" i="13" s="1"/>
  <c r="E17" i="13"/>
  <c r="F17" i="13" s="1"/>
</calcChain>
</file>

<file path=xl/comments1.xml><?xml version="1.0" encoding="utf-8"?>
<comments xmlns="http://schemas.openxmlformats.org/spreadsheetml/2006/main">
  <authors>
    <author>Natalia Maia Costa</author>
  </authors>
  <commentList>
    <comment ref="B89" authorId="0">
      <text>
        <r>
          <rPr>
            <b/>
            <sz val="9"/>
            <color indexed="81"/>
            <rFont val="Tahoma"/>
            <family val="2"/>
          </rPr>
          <t>Natalia Maia Costa:</t>
        </r>
        <r>
          <rPr>
            <sz val="9"/>
            <color indexed="81"/>
            <rFont val="Tahoma"/>
            <family val="2"/>
          </rPr>
          <t xml:space="preserve">
Ausências legais (faltas legais) = Faltas abonadas por lei, 2 dias em caso de morte do cônjuge, ascendente ou descendente; 1 dia para registro de nascimento de filho; 3 dias para casamento; 1 dia para doação de sangue; 2 dias para alistamento eleitoral; e 1 dia para exigências do serviço militar; entre outros. (1 dia/30 dias) x (1/12 meses) = 0,0028 = 0,28%. Fundamentação: art. 473 da CLT(link is external) e Acórdão TCU 6771/2009.
Ref. Acórdão TCU 1753/2008–P</t>
        </r>
      </text>
    </comment>
    <comment ref="B90" authorId="0">
      <text>
        <r>
          <rPr>
            <b/>
            <sz val="9"/>
            <color indexed="81"/>
            <rFont val="Tahoma"/>
            <family val="2"/>
          </rPr>
          <t>Natalia Maia Costa:</t>
        </r>
        <r>
          <rPr>
            <sz val="9"/>
            <color indexed="81"/>
            <rFont val="Tahoma"/>
            <family val="2"/>
          </rPr>
          <t xml:space="preserve">
Licença paternidade = Licença de 5 dias. Taxa de fecundidade = 6,24%. 
Fundamentação: art. 7º, inciso XIX, da Constituição Federal.
Limpeza e conservação: (5 dias/30dias) x (1/12 meses) x 6,24% taxa de fecundidade x 50% participação masculina = 0,0004 = 0,04%
Ref. Acórdão TCU 1753/2008–P</t>
        </r>
      </text>
    </comment>
    <comment ref="B91" authorId="0">
      <text>
        <r>
          <rPr>
            <b/>
            <sz val="9"/>
            <color indexed="81"/>
            <rFont val="Tahoma"/>
            <family val="2"/>
          </rPr>
          <t>Natalia Maia Costa:</t>
        </r>
        <r>
          <rPr>
            <sz val="9"/>
            <color indexed="81"/>
            <rFont val="Tahoma"/>
            <family val="2"/>
          </rPr>
          <t xml:space="preserve">
Acidente de trabalho = 15 primeiros dias em que o empregado não pode exercer suas atividades devido a algum acidente no trabalho dentro da empresa; trajeto a serviço; cumprindo ordens; doença profissional. O Ministério Público  (MP) considera que o empregado falta 0,91dias/ano. Fundamentação: arts. 19 a 23 da Lei 8.213/91; Lei nº 6.367/76 e art. 473 da CLT. Cálculos: (0,91 dias / 30 dias)x(1/12 meses) = 0,0027 = 0,27%.
(Ref. Acórdão TCU 1753/2008–P</t>
        </r>
      </text>
    </comment>
    <comment ref="B93" authorId="0">
      <text>
        <r>
          <rPr>
            <b/>
            <sz val="9"/>
            <color indexed="81"/>
            <rFont val="Tahoma"/>
            <family val="2"/>
          </rPr>
          <t>Natalia Maia Costa:</t>
        </r>
        <r>
          <rPr>
            <sz val="9"/>
            <color indexed="81"/>
            <rFont val="Tahoma"/>
            <family val="2"/>
          </rPr>
          <t xml:space="preserve">
Ausência por Doença = Custo dos dias em que o empregado fica doente e a contratada deve providenciar a sua substituição. Dados estatísticos: 5,96 dias/ano IBGE. (5,96 dias/30 dias) x (1/12 meses) = 0,0166 = 1,66%. Fundamentação: art. 476 da CLT; art. 6º, §1º, alínea "f", da Lei 605/49(link is external) c/c art. 12, alínea "f", do Decreto 27.048/49(link is external) e Acórdão TCU nº 1.753/2008 Plenário.
Na prorrogação: A empresa deverá apresentar cópia dos atestados médicos para comprovar o custo da substituição dos empregados. O atestato médico precisa do CID - Código Internacional de Doenças; tempo da dispensa; assinatura e carimbo ou número do registro no Conselho Regional de Medicina (CRM) do médico como requisitos de validade do atestado médico, conforme arts. 3º e 5º da Resolução CFM nº 1.658/2002(link is external). Só o paciente ou representante legal pode autorizar o diagnóstico no atestado além do CID.
Cálculo para negociação da prorrogação do contrato: Obter o custo de 1 dia de trabalho e multiplicar pelo total de faltas justificadas, ou seja, dividir o total do Módulo 1 (Total da Remuneração) por 30 (fator legal mensal) pra saber 1 dia de trabalho, depois multiplica-se pelo número de faltas justificadas.
Caso o total do Módulo 1 esteja multiplicado pela quantidade de empregado por posto, deve-se dividir pela mesma quantidade (fazer a operação inversa) para obter o custo real de 1 dia de trabalho de 1 empregado. O correto é o Módulo 1 mostrar o total da remuneração de 1 empregado apenas e o custo do posto no final da planilha no Quadro-resumo - Valor Mensal dos Serviços (forma recomendada para evitar confusões), mas pode acontecer da planilha já vir com o total do posto.
Fonte: https://licitacao.online/planilha/modulo45</t>
        </r>
      </text>
    </comment>
  </commentList>
</comments>
</file>

<file path=xl/comments2.xml><?xml version="1.0" encoding="utf-8"?>
<comments xmlns="http://schemas.openxmlformats.org/spreadsheetml/2006/main">
  <authors>
    <author>Natalia Maia Costa</author>
  </authors>
  <commentList>
    <comment ref="B89" authorId="0">
      <text>
        <r>
          <rPr>
            <b/>
            <sz val="9"/>
            <color indexed="81"/>
            <rFont val="Tahoma"/>
            <family val="2"/>
          </rPr>
          <t>Natalia Maia Costa:</t>
        </r>
        <r>
          <rPr>
            <sz val="9"/>
            <color indexed="81"/>
            <rFont val="Tahoma"/>
            <family val="2"/>
          </rPr>
          <t xml:space="preserve">
Ausências legais (faltas legais) = Faltas abonadas por lei, 2 dias em caso de morte do cônjuge, ascendente ou descendente; 1 dia para registro de nascimento de filho; 3 dias para casamento; 1 dia para doação de sangue; 2 dias para alistamento eleitoral; e 1 dia para exigências do serviço militar; entre outros. (1 dia/30 dias) x (1/12 meses) = 0,0028 = 0,28%. Fundamentação: art. 473 da CLT(link is external) e Acórdão TCU 6771/2009.
Ref. Acórdão TCU 1753/2008–P</t>
        </r>
      </text>
    </comment>
    <comment ref="B90" authorId="0">
      <text>
        <r>
          <rPr>
            <b/>
            <sz val="9"/>
            <color indexed="81"/>
            <rFont val="Tahoma"/>
            <family val="2"/>
          </rPr>
          <t>Natalia Maia Costa:</t>
        </r>
        <r>
          <rPr>
            <sz val="9"/>
            <color indexed="81"/>
            <rFont val="Tahoma"/>
            <family val="2"/>
          </rPr>
          <t xml:space="preserve">
Licença paternidade = Licença de 5 dias. Taxa de fecundidade = 6,24%. 
Fundamentação: art. 7º, inciso XIX, da Constituição Federal.
Limpeza e conservação: (5 dias/30dias) x (1/12 meses) x 6,24% taxa de fecundidade x 50% participação masculina = 0,0004 = 0,04%
Ref. Acórdão TCU 1753/2008–P</t>
        </r>
      </text>
    </comment>
    <comment ref="B91" authorId="0">
      <text>
        <r>
          <rPr>
            <b/>
            <sz val="9"/>
            <color indexed="81"/>
            <rFont val="Tahoma"/>
            <family val="2"/>
          </rPr>
          <t>Natalia Maia Costa:</t>
        </r>
        <r>
          <rPr>
            <sz val="9"/>
            <color indexed="81"/>
            <rFont val="Tahoma"/>
            <family val="2"/>
          </rPr>
          <t xml:space="preserve">
Acidente de trabalho = 15 primeiros dias em que o empregado não pode exercer suas atividades devido a algum acidente no trabalho dentro da empresa; trajeto a serviço; cumprindo ordens; doença profissional. O Ministério Público  (MP) considera que o empregado falta 0,91dias/ano. Fundamentação: arts. 19 a 23 da Lei 8.213/91; Lei nº 6.367/76 e art. 473 da CLT. Cálculos: (0,91 dias / 30 dias)x(1/12 meses) = 0,0027 = 0,27%.
(Ref. Acórdão TCU 1753/2008–P</t>
        </r>
      </text>
    </comment>
    <comment ref="B93" authorId="0">
      <text>
        <r>
          <rPr>
            <b/>
            <sz val="9"/>
            <color indexed="81"/>
            <rFont val="Tahoma"/>
            <family val="2"/>
          </rPr>
          <t>Natalia Maia Costa:</t>
        </r>
        <r>
          <rPr>
            <sz val="9"/>
            <color indexed="81"/>
            <rFont val="Tahoma"/>
            <family val="2"/>
          </rPr>
          <t xml:space="preserve">
Ausência por Doença = Custo dos dias em que o empregado fica doente e a contratada deve providenciar a sua substituição. Dados estatísticos: 5,96 dias/ano IBGE. (5,96 dias/30 dias) x (1/12 meses) = 0,0166 = 1,66%. Fundamentação: art. 476 da CLT; art. 6º, §1º, alínea "f", da Lei 605/49(link is external) c/c art. 12, alínea "f", do Decreto 27.048/49(link is external) e Acórdão TCU nº 1.753/2008 Plenário.
Na prorrogação: A empresa deverá apresentar cópia dos atestados médicos para comprovar o custo da substituição dos empregados. O atestato médico precisa do CID - Código Internacional de Doenças; tempo da dispensa; assinatura e carimbo ou número do registro no Conselho Regional de Medicina (CRM) do médico como requisitos de validade do atestado médico, conforme arts. 3º e 5º da Resolução CFM nº 1.658/2002(link is external). Só o paciente ou representante legal pode autorizar o diagnóstico no atestado além do CID.
Cálculo para negociação da prorrogação do contrato: Obter o custo de 1 dia de trabalho e multiplicar pelo total de faltas justificadas, ou seja, dividir o total do Módulo 1 (Total da Remuneração) por 30 (fator legal mensal) pra saber 1 dia de trabalho, depois multiplica-se pelo número de faltas justificadas.
Caso o total do Módulo 1 esteja multiplicado pela quantidade de empregado por posto, deve-se dividir pela mesma quantidade (fazer a operação inversa) para obter o custo real de 1 dia de trabalho de 1 empregado. O correto é o Módulo 1 mostrar o total da remuneração de 1 empregado apenas e o custo do posto no final da planilha no Quadro-resumo - Valor Mensal dos Serviços (forma recomendada para evitar confusões), mas pode acontecer da planilha já vir com o total do posto.
Fonte: https://licitacao.online/planilha/modulo45</t>
        </r>
      </text>
    </comment>
  </commentList>
</comments>
</file>

<file path=xl/comments3.xml><?xml version="1.0" encoding="utf-8"?>
<comments xmlns="http://schemas.openxmlformats.org/spreadsheetml/2006/main">
  <authors>
    <author>Natalia Maia Costa</author>
  </authors>
  <commentList>
    <comment ref="B89" authorId="0">
      <text>
        <r>
          <rPr>
            <b/>
            <sz val="9"/>
            <color indexed="81"/>
            <rFont val="Tahoma"/>
            <family val="2"/>
          </rPr>
          <t>Natalia Maia Costa:</t>
        </r>
        <r>
          <rPr>
            <sz val="9"/>
            <color indexed="81"/>
            <rFont val="Tahoma"/>
            <family val="2"/>
          </rPr>
          <t xml:space="preserve">
Ausências legais (faltas legais) = Faltas abonadas por lei, 2 dias em caso de morte do cônjuge, ascendente ou descendente; 1 dia para registro de nascimento de filho; 3 dias para casamento; 1 dia para doação de sangue; 2 dias para alistamento eleitoral; e 1 dia para exigências do serviço militar; entre outros. (1 dia/30 dias) x (1/12 meses) = 0,0028 = 0,28%. Fundamentação: art. 473 da CLT(link is external) e Acórdão TCU 6771/2009.
Ref. Acórdão TCU 1753/2008–P</t>
        </r>
      </text>
    </comment>
    <comment ref="B90" authorId="0">
      <text>
        <r>
          <rPr>
            <b/>
            <sz val="9"/>
            <color indexed="81"/>
            <rFont val="Tahoma"/>
            <family val="2"/>
          </rPr>
          <t>Natalia Maia Costa:</t>
        </r>
        <r>
          <rPr>
            <sz val="9"/>
            <color indexed="81"/>
            <rFont val="Tahoma"/>
            <family val="2"/>
          </rPr>
          <t xml:space="preserve">
Licença paternidade = Licença de 5 dias. Taxa de fecundidade = 6,24%. 
Fundamentação: art. 7º, inciso XIX, da Constituição Federal.
Limpeza e conservação: (5 dias/30dias) x (1/12 meses) x 6,24% taxa de fecundidade x 50% participação masculina = 0,0004 = 0,04%
Ref. Acórdão TCU 1753/2008–P</t>
        </r>
      </text>
    </comment>
    <comment ref="B91" authorId="0">
      <text>
        <r>
          <rPr>
            <b/>
            <sz val="9"/>
            <color indexed="81"/>
            <rFont val="Tahoma"/>
            <family val="2"/>
          </rPr>
          <t>Natalia Maia Costa:</t>
        </r>
        <r>
          <rPr>
            <sz val="9"/>
            <color indexed="81"/>
            <rFont val="Tahoma"/>
            <family val="2"/>
          </rPr>
          <t xml:space="preserve">
Acidente de trabalho = 15 primeiros dias em que o empregado não pode exercer suas atividades devido a algum acidente no trabalho dentro da empresa; trajeto a serviço; cumprindo ordens; doença profissional. O Ministério Público  (MP) considera que o empregado falta 0,91dias/ano. Fundamentação: arts. 19 a 23 da Lei 8.213/91; Lei nº 6.367/76 e art. 473 da CLT. Cálculos: (0,91 dias / 30 dias)x(1/12 meses) = 0,0027 = 0,27%.
(Ref. Acórdão TCU 1753/2008–P</t>
        </r>
      </text>
    </comment>
    <comment ref="B93" authorId="0">
      <text>
        <r>
          <rPr>
            <b/>
            <sz val="9"/>
            <color indexed="81"/>
            <rFont val="Tahoma"/>
            <family val="2"/>
          </rPr>
          <t>Natalia Maia Costa:</t>
        </r>
        <r>
          <rPr>
            <sz val="9"/>
            <color indexed="81"/>
            <rFont val="Tahoma"/>
            <family val="2"/>
          </rPr>
          <t xml:space="preserve">
Ausência por Doença = Custo dos dias em que o empregado fica doente e a contratada deve providenciar a sua substituição. Dados estatísticos: 5,96 dias/ano IBGE. (5,96 dias/30 dias) x (1/12 meses) = 0,0166 = 1,66%. Fundamentação: art. 476 da CLT; art. 6º, §1º, alínea "f", da Lei 605/49(link is external) c/c art. 12, alínea "f", do Decreto 27.048/49(link is external) e Acórdão TCU nº 1.753/2008 Plenário.
Na prorrogação: A empresa deverá apresentar cópia dos atestados médicos para comprovar o custo da substituição dos empregados. O atestato médico precisa do CID - Código Internacional de Doenças; tempo da dispensa; assinatura e carimbo ou número do registro no Conselho Regional de Medicina (CRM) do médico como requisitos de validade do atestado médico, conforme arts. 3º e 5º da Resolução CFM nº 1.658/2002(link is external). Só o paciente ou representante legal pode autorizar o diagnóstico no atestado além do CID.
Cálculo para negociação da prorrogação do contrato: Obter o custo de 1 dia de trabalho e multiplicar pelo total de faltas justificadas, ou seja, dividir o total do Módulo 1 (Total da Remuneração) por 30 (fator legal mensal) pra saber 1 dia de trabalho, depois multiplica-se pelo número de faltas justificadas.
Caso o total do Módulo 1 esteja multiplicado pela quantidade de empregado por posto, deve-se dividir pela mesma quantidade (fazer a operação inversa) para obter o custo real de 1 dia de trabalho de 1 empregado. O correto é o Módulo 1 mostrar o total da remuneração de 1 empregado apenas e o custo do posto no final da planilha no Quadro-resumo - Valor Mensal dos Serviços (forma recomendada para evitar confusões), mas pode acontecer da planilha já vir com o total do posto.
Fonte: https://licitacao.online/planilha/modulo45</t>
        </r>
      </text>
    </comment>
  </commentList>
</comments>
</file>

<file path=xl/sharedStrings.xml><?xml version="1.0" encoding="utf-8"?>
<sst xmlns="http://schemas.openxmlformats.org/spreadsheetml/2006/main" count="1166" uniqueCount="426">
  <si>
    <t>Descrição</t>
  </si>
  <si>
    <t>Área interna</t>
  </si>
  <si>
    <t>Face interna/externa sem exposição ao risco</t>
  </si>
  <si>
    <t>I - PREÇO MENSAL UNITÁRIO POR M²</t>
  </si>
  <si>
    <t>ÁREA INTERNA (PISOS FRIOS E ACARPETADOS)</t>
  </si>
  <si>
    <t>Mão-de-obra (SERVENTE)</t>
  </si>
  <si>
    <t>Produtividade por m²</t>
  </si>
  <si>
    <t>(1) Produtividade (1/m²)</t>
  </si>
  <si>
    <t>(2) Preço homem-mês (R$)</t>
  </si>
  <si>
    <t>(1 X 2)
Subtotal (R$/m²)</t>
  </si>
  <si>
    <t>TOTAL</t>
  </si>
  <si>
    <t>Mão-de-obra</t>
  </si>
  <si>
    <t>Servente</t>
  </si>
  <si>
    <t>(2) Frequência no mês (horas)</t>
  </si>
  <si>
    <t>(3) Jornada trab. mensal (horas)</t>
  </si>
  <si>
    <t>(4) = (1 X 2 X 3)
Ki</t>
  </si>
  <si>
    <t>(5) Preço homem-mês (R$)</t>
  </si>
  <si>
    <t>(4 X 5)
Subtotal (R$/m²)</t>
  </si>
  <si>
    <t>II - QUANTIDADE MÍNIMA DE POSTOS DE TRABALHO</t>
  </si>
  <si>
    <t>Tipo de área</t>
  </si>
  <si>
    <t>(1) Produtividade/ Ki</t>
  </si>
  <si>
    <t>(2) Área (m²)</t>
  </si>
  <si>
    <t>(3) = (1 X 2) Qtde. mínima de postos de trabalho</t>
  </si>
  <si>
    <t>Área Interna- LABORATÓRIO</t>
  </si>
  <si>
    <t>Área Interna- ALMOXARIFADO</t>
  </si>
  <si>
    <t>Área Interna - PISOS FRIOS</t>
  </si>
  <si>
    <t>Área Interna- BANHEIROS</t>
  </si>
  <si>
    <t>Área Externa (Pisos Pavimentados Adjacentes/Contíguos Às Edificações)</t>
  </si>
  <si>
    <t>Posto de trabalho</t>
  </si>
  <si>
    <t>Total</t>
  </si>
  <si>
    <t>Área externa (pisos pavimentados)</t>
  </si>
  <si>
    <t>TOTAL ÁREA INTERNA</t>
  </si>
  <si>
    <t>Quantidade</t>
  </si>
  <si>
    <t>Discriminação dos Serviços</t>
  </si>
  <si>
    <t>A</t>
  </si>
  <si>
    <t>Data de apresentação da proposta</t>
  </si>
  <si>
    <t>B</t>
  </si>
  <si>
    <t>Município</t>
  </si>
  <si>
    <t>C</t>
  </si>
  <si>
    <t>D</t>
  </si>
  <si>
    <t>Nº de meses de execução contratual</t>
  </si>
  <si>
    <t>Identificação do Serviço</t>
  </si>
  <si>
    <t>Tipo de Serviço</t>
  </si>
  <si>
    <t>Unidade de Medida</t>
  </si>
  <si>
    <t>Quantidade total a contratar (em função da unidade de medida)</t>
  </si>
  <si>
    <t>Limpeza</t>
  </si>
  <si>
    <t>Área (m2)</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</si>
  <si>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</si>
  <si>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</si>
  <si>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</si>
  <si>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</si>
  <si>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</si>
  <si>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 base da categoria (dia/mês/ano)</t>
  </si>
  <si>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</si>
  <si>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</si>
  <si>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</si>
  <si>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</si>
  <si>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</si>
  <si>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</si>
  <si>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</si>
  <si>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</si>
  <si>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</si>
  <si>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</si>
  <si>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</si>
  <si>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G</t>
  </si>
  <si>
    <t>Outros (especificar)</t>
  </si>
  <si>
    <t>TOTAL DO MÓDULO 1</t>
  </si>
  <si>
    <t>MÓDULO 2 – ENCARGOS E BENEFÍCIOS ANUAIS, MENSAIS E DIÁRIOS</t>
  </si>
  <si>
    <t>Submódulo 2.1 - 13º Salário, Férias e Adicional de Férias</t>
  </si>
  <si>
    <t>TOTAL SUBMÓDULO 2.1</t>
  </si>
  <si>
    <t>Submódulo 2.2 - GPS, FGTS e Outras Contribuições</t>
  </si>
  <si>
    <t xml:space="preserve">INSS </t>
  </si>
  <si>
    <t xml:space="preserve">Salário Educação </t>
  </si>
  <si>
    <t>SAT (Seguro Acidente de Trabalho)</t>
  </si>
  <si>
    <t>SESC ou SESI</t>
  </si>
  <si>
    <t xml:space="preserve">SENAI - SENAC </t>
  </si>
  <si>
    <t xml:space="preserve">SEBRAE </t>
  </si>
  <si>
    <t xml:space="preserve">INCRA </t>
  </si>
  <si>
    <t>H</t>
  </si>
  <si>
    <t xml:space="preserve">FGTS </t>
  </si>
  <si>
    <t>TOTAL SUBMÓDULO 2.2</t>
  </si>
  <si>
    <t>Submódulo 2.3 - Benefícios Mensais e Diários</t>
  </si>
  <si>
    <t>-</t>
  </si>
  <si>
    <t xml:space="preserve">Assistência Médica e Familiar </t>
  </si>
  <si>
    <t>TOTAL SUBMÓDULO 2.3</t>
  </si>
  <si>
    <t>QUADRO-RESUMO DO MÓDULO 2 - ENCARGOS, BENEFÍCIOS ANUAIS, MENSAIS E DIÁRIOS</t>
  </si>
  <si>
    <t>Módulo 2 - Encargos, Benefícios Anuais, Mensais e Diários</t>
  </si>
  <si>
    <t>2.1</t>
  </si>
  <si>
    <t>13º Salário, Férias e Adicional de Férias</t>
  </si>
  <si>
    <t>2.2</t>
  </si>
  <si>
    <t>GPS, FGTS e Outras Contribuições</t>
  </si>
  <si>
    <t>2.3</t>
  </si>
  <si>
    <t>Benefícios Mensais e Diários</t>
  </si>
  <si>
    <t>TOTAL DO MÓDULO 2</t>
  </si>
  <si>
    <t>MÓDULO 3 – PROVISÃO PARA RESCISÃO</t>
  </si>
  <si>
    <t>PROVISÃO PARA RESCISÃO</t>
  </si>
  <si>
    <t>Incidência do FGTS sobre Aviso Prévio Indenizado</t>
  </si>
  <si>
    <t>TOTAL DO MÓDULO 3</t>
  </si>
  <si>
    <t>MÓDULO 4 – CUSTO DE REPOSIÇÃO DO PROFISSIONAL AUSENTE</t>
  </si>
  <si>
    <t>TOTAL SUBMÓDULO 4.1</t>
  </si>
  <si>
    <t>TOTAL SUBMÓDULO 4.2</t>
  </si>
  <si>
    <t>QUADRO-RESUMO DO MÓDULO 4 - CUSTO DE REPOSIÇÃO DO PROFISSIONAL AUSENTE</t>
  </si>
  <si>
    <t>Módulo 4 - Custo de Reposição do Profissional Ausente</t>
  </si>
  <si>
    <t>4.1</t>
  </si>
  <si>
    <t>4.2</t>
  </si>
  <si>
    <t>TOTAL DO MÓDULO 4</t>
  </si>
  <si>
    <t>MÓDULO 5 – INSUMOS DIVERSOS</t>
  </si>
  <si>
    <t>INSUMOS DIVERSOS</t>
  </si>
  <si>
    <t>TOTAL DO MÓDULO 5</t>
  </si>
  <si>
    <t>MÓDULO 6 – CUSTOS INDIRETOS, TRIBUTOS E LUCRO</t>
  </si>
  <si>
    <t>CUSTOS INDIRETOS, TRIBUTOS E LUCRO</t>
  </si>
  <si>
    <t>Custos Indiretos</t>
  </si>
  <si>
    <t>Lucro</t>
  </si>
  <si>
    <t>TOTAL DO MÓDULO 6</t>
  </si>
  <si>
    <t>QUADRO RESUMO DO CUSTO POR EMPREGADO</t>
  </si>
  <si>
    <t>Mão-de-Obra vinculada à execução contratual (valor por empregado)</t>
  </si>
  <si>
    <t>Subtotal (A + B + C + D + E)</t>
  </si>
  <si>
    <t>PREÇO TOTAL POR EMPREGADO</t>
  </si>
  <si>
    <t>Quadro Resumo - VALOR MENSAL DOS SERVIÇOS</t>
  </si>
  <si>
    <t>Tipo de Serviço (A)</t>
  </si>
  <si>
    <t>Valor Por Empregado(B)</t>
  </si>
  <si>
    <t>Qde de Empregados por posto ( C )</t>
  </si>
  <si>
    <t>Valor Proposto por Posto (D) = (B x C)</t>
  </si>
  <si>
    <t>Qde Postos (E)</t>
  </si>
  <si>
    <t>Serviço 1 (indicar)</t>
  </si>
  <si>
    <t>R$</t>
  </si>
  <si>
    <t>Serviço 2 (indicar)</t>
  </si>
  <si>
    <t>Serviço 3 (indicar)</t>
  </si>
  <si>
    <t>Serviço ... (indicar)</t>
  </si>
  <si>
    <t>VALOR MENSAL DOS SERVIÇOS (I + II + III + ...)</t>
  </si>
  <si>
    <t>Anexo III-D</t>
  </si>
  <si>
    <t>Quadro Demonstrativo - VALOR GLOBAL DA PROPOSTA</t>
  </si>
  <si>
    <t>VALOR GLOBAL DA PROPOSTA</t>
  </si>
  <si>
    <t>Valor proposto por unidade de medida*</t>
  </si>
  <si>
    <t>Valor mensal do serviço</t>
  </si>
  <si>
    <t>Valor Global da Proposta (valor mensal do serviço X nº meses do contrato).</t>
  </si>
  <si>
    <t>Nota(1):</t>
  </si>
  <si>
    <t>Informar o valor da unidade de medida por tipo de serviço.</t>
  </si>
  <si>
    <t>LICITAÇÃO Nº</t>
  </si>
  <si>
    <t>BOA VISTA</t>
  </si>
  <si>
    <t>Limpeza e Conservação</t>
  </si>
  <si>
    <t>5143-20</t>
  </si>
  <si>
    <t>valor mensal</t>
  </si>
  <si>
    <t>valor anual</t>
  </si>
  <si>
    <t>Valor mensal</t>
  </si>
  <si>
    <t>VALOR ANUAL</t>
  </si>
  <si>
    <t>Quantitativo (MÊS)</t>
  </si>
  <si>
    <t>PREÇO GLOBAL</t>
  </si>
  <si>
    <t>REGIME DE TRIBUTAÇÃO: LUCRO REAL</t>
  </si>
  <si>
    <t>VL ANUAL</t>
  </si>
  <si>
    <t xml:space="preserve">Valor Total Estimado (R$) </t>
  </si>
  <si>
    <t>LUCRO REAL</t>
  </si>
  <si>
    <t>VL MENSAL</t>
  </si>
  <si>
    <t>LUCRO PRESUMIDO</t>
  </si>
  <si>
    <t>SIMPLES NACIONAL</t>
  </si>
  <si>
    <t xml:space="preserve">Possíveis cenários de acordo com Regime Tributário </t>
  </si>
  <si>
    <t>REGIME TRIBUTÁRIO: LUCRO REAL</t>
  </si>
  <si>
    <t>Considerando que a maior carga tributária incide sobre o regime Lucro Real, assim teríamos uma possível redução de 6% do valor total por posto para o Lucro Presumido e aproximadamente 10% para o Simples Nacional, de acordo com o demonstrativo abaixo.</t>
  </si>
  <si>
    <t xml:space="preserve">III -VERIFICAÇÃO DO PREÇO </t>
  </si>
  <si>
    <t>VALE TRANSPORTE PERIMETRO URBANO</t>
  </si>
  <si>
    <t>VALOR UNITÁRIO DO VALE TRANSPORTE</t>
  </si>
  <si>
    <t>*Fornecimento de Vale transporte conforme Decreto nº 95.247, de 17 de novembro de 1987 Regulamenta a Lei nº 7418, de 16 de dezembro de 1985, que institui o Vale-Transporte, com a alteração da Lei nº 7619, de 30 de setembro de 1987.</t>
  </si>
  <si>
    <t>CATEGORIA PROFISSIONAL</t>
  </si>
  <si>
    <t>SALÁRIO BASE</t>
  </si>
  <si>
    <t>QTD VALE TRANSPORTE MÊS</t>
  </si>
  <si>
    <t>VALOR TOTAL DO VALE TRANSPORTE</t>
  </si>
  <si>
    <t>DESCONTO DO TRABALHADOR 6%</t>
  </si>
  <si>
    <t>VALOR A SER CONSIDERADO</t>
  </si>
  <si>
    <t>SERVENTE</t>
  </si>
  <si>
    <t>Área Interna - ÁREA C/ ESPAÇO LIVRE</t>
  </si>
  <si>
    <t>Encarregado</t>
  </si>
  <si>
    <t>Nota 1:  A planilha deverá ser calculada considerando o valor mensal do empregado</t>
  </si>
  <si>
    <t>SERVENTE -PISOS FRIOS</t>
  </si>
  <si>
    <t xml:space="preserve">ENCARREGADO </t>
  </si>
  <si>
    <t>SERVENTE LABORATÓRIO</t>
  </si>
  <si>
    <t>ENCARREGADO</t>
  </si>
  <si>
    <t>SERVENTE ALMOXARIFADO/ GALPÃO</t>
  </si>
  <si>
    <t>SERVENTE  ÁREA C/ ESPAÇO LIVRE</t>
  </si>
  <si>
    <t>SERVENTE   BANHEIROS</t>
  </si>
  <si>
    <t>Nota 1: O Módulo 1 refere-se ao valor mensal devido ao empregado pela prestação do serviço no período de 12 meses.</t>
  </si>
  <si>
    <t>Submódulo 2.2 - Encargos Previdenciários (GPS), Fundo de Garantia por Tempo de Serviço (FGTS) e outras contribuições  (BASE DE CALCULO MODULO I + SUBMÓDULO 2.1)</t>
  </si>
  <si>
    <t xml:space="preserve"> (BASE DE CALCULO MODULO I + SUBMÓDULO 2.1)</t>
  </si>
  <si>
    <t>BC= Base de cálculo (Módulo 1 + Módulo 2 + Módulo 3)</t>
  </si>
  <si>
    <t>Submódulo 4.1 - Substituto nas Ausências Legais</t>
  </si>
  <si>
    <t>Submódulo 4.2 - Substituto  Intrajornada</t>
  </si>
  <si>
    <t xml:space="preserve"> Substituto nas Ausências LegaisAusências Legais</t>
  </si>
  <si>
    <t>Substituto  Intrajornada</t>
  </si>
  <si>
    <t>Custo direto: Somatório dos Módulos 1+2+3+4+5</t>
  </si>
  <si>
    <t>Tributos</t>
  </si>
  <si>
    <t>C.1 Tributos Federais</t>
  </si>
  <si>
    <t xml:space="preserve">       PIS</t>
  </si>
  <si>
    <t xml:space="preserve">        COFINS</t>
  </si>
  <si>
    <t xml:space="preserve">        Outros (especificar)</t>
  </si>
  <si>
    <t>C.2 Tributos Estaduais</t>
  </si>
  <si>
    <t>(Especificar)</t>
  </si>
  <si>
    <t>C.3 Tributos Municipais</t>
  </si>
  <si>
    <t xml:space="preserve">        ISS</t>
  </si>
  <si>
    <t>VALOR TOTAL  POR EMPREGADO</t>
  </si>
  <si>
    <t>encarregado</t>
  </si>
  <si>
    <t>servente</t>
  </si>
  <si>
    <t>ANEXO VII-D (IN 07/2018 MPOG) - DEMONSTRATIVO FINAL LUCRO REAL</t>
  </si>
  <si>
    <t>VALOR REFERENCIAL</t>
  </si>
  <si>
    <t>ANEXO VII IN 07/2018 MPDG</t>
  </si>
  <si>
    <t xml:space="preserve">Ano do Acordo, Convenção ou Dissídio Coletivo </t>
  </si>
  <si>
    <t>Incidência de GPS, FGTS e outras contribuições sobre o Aviso Prévio Trabalhado</t>
  </si>
  <si>
    <t xml:space="preserve">LICITAÇÃO Nº </t>
  </si>
  <si>
    <t xml:space="preserve">PREGÃO ELETRÔNICO IFRR: </t>
  </si>
  <si>
    <t>4101-05</t>
  </si>
  <si>
    <t>Item</t>
  </si>
  <si>
    <t>UNIDADE: CAMPUS BOA VISTA</t>
  </si>
  <si>
    <t>SERVIÇO A SER CONTRATADO: Limpeza e Conservação</t>
  </si>
  <si>
    <t xml:space="preserve">CAMPUS BOA VISTA </t>
  </si>
  <si>
    <t>INSTITUTO FEDERAL DE RORAIMA</t>
  </si>
  <si>
    <t>Descrição/Especificação</t>
  </si>
  <si>
    <t>CATSER</t>
  </si>
  <si>
    <t>Unidade de medida</t>
  </si>
  <si>
    <t>Valor máximo mensal</t>
  </si>
  <si>
    <t>Valor máximo anual</t>
  </si>
  <si>
    <t>Área Externa – Pátios e áreas verdes com baixa frequência</t>
  </si>
  <si>
    <t>TOTAL ÁREA EXTERNA</t>
  </si>
  <si>
    <t>Total de postos</t>
  </si>
  <si>
    <t>TOTAL ESQUADRIA</t>
  </si>
  <si>
    <t>ESQUADRIA (Face interna/externa sem exposição ao risco)</t>
  </si>
  <si>
    <t>ÁREA EXTERNA (Pisos pavimentados adjacentes/contíguos)</t>
  </si>
  <si>
    <t>ÁREA EXTERNA (Pátios e áreas verdes com baixa frequência)</t>
  </si>
  <si>
    <t>PLANILHA DE FORMAÇÃO DE PREÇOS</t>
  </si>
  <si>
    <t>Mês</t>
  </si>
  <si>
    <t>Valor total da contratação:</t>
  </si>
  <si>
    <t>Servente Banherista</t>
  </si>
  <si>
    <t>Enacrregado</t>
  </si>
  <si>
    <t>Total de serventes</t>
  </si>
  <si>
    <t>Total de encarregados</t>
  </si>
  <si>
    <t>RELAÇÃO DE INSUMOS ANUAIS - PAGAMENTO POR DEPRECIAÇÃO E MANUTENÇÃO</t>
  </si>
  <si>
    <t>ITEM</t>
  </si>
  <si>
    <t>DESCRIÇÃO</t>
  </si>
  <si>
    <t>UNID.</t>
  </si>
  <si>
    <t>QDT.</t>
  </si>
  <si>
    <t>Prazo de vida útil (em anos)</t>
  </si>
  <si>
    <t>Taxa anual de depreciação</t>
  </si>
  <si>
    <t>Valor unitário médio</t>
  </si>
  <si>
    <t xml:space="preserve">Valor total </t>
  </si>
  <si>
    <t>Depreciação mensal</t>
  </si>
  <si>
    <t>Manutenção mensal (Valor total x 0,5% ao mês)</t>
  </si>
  <si>
    <t>Aspirador de pó e líquido com rodízio, com as seguintes especificações mínimas: capacidade: 20 litros; potência: 1600w; tensão: bivolt ou 127V</t>
  </si>
  <si>
    <t>Unid.</t>
  </si>
  <si>
    <t>Capacete Aba Frontal com Catraca e Jugular, Testado e aprovado pelas normas ABNT NBR 8221/1983</t>
  </si>
  <si>
    <t>Carrinho coletor, em plástico com duas rodas para coleta de lixo, 240 litros. Deverá possuir dreno para higienização e tampa de abertura lateral ou bipartida.</t>
  </si>
  <si>
    <t>Carrinho de mão, material caçamba: chapa aço galvanizado, material chassi: ferro, material pés: ferro, quantidade roda: 1 un, tipo roda: pneu com câmara, capacidade caçamba: 60 l, no mínimo</t>
  </si>
  <si>
    <t>Carro Funcional com bolsa (Saco) para recolhimento de lixo ou roupa suja produzido em vinil com zíperes frontais e que se encaixam em ilhoses no bocal com tampa. Capacidade para 200 Litros. Tampa com espaço para consicionamento de ferramentas, acessórios ou outros objetos. Rodízios emborrachados para deslocamento com menos ruídos;</t>
  </si>
  <si>
    <t>Cinturão tipo paraquedistas com 3 pontos de ancoragem</t>
  </si>
  <si>
    <t>Talabarte em Y com absorvedor de energia</t>
  </si>
  <si>
    <t>Conjunto para Coleta Seletiva com 04 Lixeiras, tampa tipo capacete ou basculante, capacidade mínima de 50 Litros, nas cores vermelha, azul, amarela e verde, com estrutura metálica de aço carbonizado na cor preta que acompanha parafusos e arruelas para montagem.</t>
  </si>
  <si>
    <t xml:space="preserve">Enceradeira industrial, para lavagem e polimento, 510mm, motor com no mínimo 1HP, tensão bivolt, capacidade operacional de no mínimo 1500m2 e mínimo de 600w. (Ref.: Enceradeira Plus DC 510 - Deepclean) </t>
  </si>
  <si>
    <t>Enxada de Aço Carbono com cabo de 150 cm</t>
  </si>
  <si>
    <t>Escada de abrir de alumínio com 7 degraus</t>
  </si>
  <si>
    <t>Lavadora de alta pressão semi-profissional ou profissional, com motor de indução, com as seguintes especificações mínimas: mangueira de 7,5m; tensão bivolt; potência: 1,5kW (127V) / 2,2kW (220V); Vazão de 400 L/h (127V) / 500 L/h (220V); Pressão máxima: 1550PSI (127V) / 2170PSI (220V). (Ref.: Karcher HD 585 Profi S).</t>
  </si>
  <si>
    <t>Motosserra a gasolina, especificações mínimas: tanque de 0,47l, cilindrada 45,4cm3, potência 3,1cv, 2 kg/kw (Ref.: Motoserra Stihl MS 250)</t>
  </si>
  <si>
    <t>Pá quadrada, tamanho grande, com cabo de 120 cm, no mínimo</t>
  </si>
  <si>
    <t>Proteção facial para roçador, deve possuir ajuste para melhor encaixar na cabeça; Com tela de Nylon móvel, podendo ser colocada para cima (levantada) sem precisar retirar o Protetor Facial da cabeça. Possui ainda protetor acolchoado na testa para não machucar o usuário.</t>
  </si>
  <si>
    <t>Roçadeira manual a combustão, especificações mínimas: Capacidade do tanque 0,58l, cilindrada 29,8 cm3, potência 1,9cv, 15,500rpm máximo. (Ref.: Roçadeira Marca Stihl FS 160)</t>
  </si>
  <si>
    <t>Valor total anual</t>
  </si>
  <si>
    <t>PESQUISA DE PREÇOS - PLANILHA ORÇAMENTÁRIA</t>
  </si>
  <si>
    <t>RELAÇÃO DE INSUMOS - ANUAL</t>
  </si>
  <si>
    <t>Unid</t>
  </si>
  <si>
    <t>Avental impermeável, em PVC com forro, para proteção contra umidade proveniente de operações com uso de água.</t>
  </si>
  <si>
    <t>Balde plástico 20L, com alça</t>
  </si>
  <si>
    <t>Balde plástico, alça de ferro ou arame reforçado, capacidade 12L</t>
  </si>
  <si>
    <t>Desentupidor de pia, emborrachado com cabo, medidas aproximadas: Comprimento: 10cm Largura: 10cm Altura: 16cm</t>
  </si>
  <si>
    <t>Desentupidor de vaso sanitário, emborrachado com cabo em Madeira, Cores: Variadas, Dimensões aproximadas: A x L x P / 57,0 x 30,0 x 30,0 cm</t>
  </si>
  <si>
    <t xml:space="preserve">Dispenser para líquidos ou gel, com reservatório para 500ml no mínimo e chave para travamento.  </t>
  </si>
  <si>
    <t>Dispenser para Papel Higiênico rolão de 300 ou 500 metros (acompanha chave que permite a abertura somente por pessoas autorizadas)</t>
  </si>
  <si>
    <t>Dispenser para papel toalha interfolhas em plástico ABS branco de alta qualidade. Modelo para papel de 2 e 3 dobras. Indicado para uso profissional ou banheiros públicos (alto fluxo). Acompanha chave que permite a abertura somente por pessoas autorizadas. Dimensões: A 30cm x L 26cm x P 12cm.</t>
  </si>
  <si>
    <t>Escova de nylon para enceradeira, 510mm, com flange, para lavagem, compatível com enderadeira especificada no item da lista de equipamentos anual</t>
  </si>
  <si>
    <t>Escova de pelo para enceradeira, 510mm, com flange, para dar brilho, compatível com enderadeira especificada no item da lista de equipamentos anual</t>
  </si>
  <si>
    <t>Espanador de fibra sintética tamanho médio</t>
  </si>
  <si>
    <t>Espátula de aço inoxidável pequena</t>
  </si>
  <si>
    <t>Extensão Elétrica Cabo Pp 2x2,5mm 10a Completa - 50 Metros</t>
  </si>
  <si>
    <t>Facão 20 polegadas com cabo</t>
  </si>
  <si>
    <t>Funil de plástico, medida 10 cm</t>
  </si>
  <si>
    <t>Lima chata para amolar enxada, com cabo</t>
  </si>
  <si>
    <t xml:space="preserve">Lixeira plástica, com tampa e pedal, 15L </t>
  </si>
  <si>
    <t>Lixeira plástica, com tampa e pedal, 30L</t>
  </si>
  <si>
    <t>Lixeira plástica, com tampa e pedal, 50L</t>
  </si>
  <si>
    <t>Luva Anticorte, Luvas de segurança, confeccionadas com fios de elastano e fibra de vidro com polietileno (hppe  polietileno de alta densidade), revestida com látex nitrílico SAND, face palmar e pontas dos dedos, punho com elastano, formatos anatômico. Composição: Hppe, fibra de vidro e poliuretano. Acabamento: Látex Nitrílico antiderrapante</t>
  </si>
  <si>
    <t>Par</t>
  </si>
  <si>
    <t>Mangueira flexível 1/2 com 50m, acompanhada de Esguicho Simples; Conector para Torneira e Engate rápido para Mangueira</t>
  </si>
  <si>
    <t>Mangueira flexível 3/4 com 50m</t>
  </si>
  <si>
    <t>Mangueira Microperfurada com 100m</t>
  </si>
  <si>
    <t>Óculos de proteção incolor, óculos proteção, material armação policarbonato, tipo proteção lateral, cor lente incolor, aplicação proteção geral, características adicionais resistente a impactos</t>
  </si>
  <si>
    <t xml:space="preserve">Pá de lixo plástica com cabo </t>
  </si>
  <si>
    <t>Placa sinalizadora em pvc, dobrável, frente e verso, “cuidado, piso molhado” ou "advertência, piso escorregadio", bilíngue, letras pretas, amarela, tam. Mínimo 30 x 60 x 1 cmpretas, amarela</t>
  </si>
  <si>
    <t>Protetor auditivo, auricular, tipo plug, em silicone ou poliuretano, com cordão.</t>
  </si>
  <si>
    <t>Vassoura de piaçava, com cabo de madeira de 120cm, para áreas rústicas desniveladas e esburacadas, como calçadas, terreiros, quintal, pátios com cimento rustico e outros.</t>
  </si>
  <si>
    <t>Vassoura tipo venezuelana, com cabo, especificações mínimas: vassoura doméstica 26cm, 4 fileiras, cepa plástica, cabo madeira plastificado de 1,20 m.</t>
  </si>
  <si>
    <t>RELAÇÃO DE INSUMOS - MENSAL</t>
  </si>
  <si>
    <t>QTD</t>
  </si>
  <si>
    <t>Litros</t>
  </si>
  <si>
    <t>Bobina de papel para relógio de ponto eletrônico, 57mmx300m, que atenda as determinações da Portaria MTE 1510/2009, compatível com relógio de ponto especificado na lista de equipamentos.</t>
  </si>
  <si>
    <t>Combustível (gasolina) para roçadeira e motoserra manual a combustão</t>
  </si>
  <si>
    <t xml:space="preserve">Desodorizador de ambiente em aerossol, frasco spray, 360ml, sem CFC. </t>
  </si>
  <si>
    <t>Disco para enceradeira BRANCO LUSTRADOR, 510mm, compatível com a enderadeira especificada no item da lista de equipamentos anual</t>
  </si>
  <si>
    <t>Disco para enceradeira PRETO REMOVEDOR, 510mm, compatível com a enderadeira especificada no item da lista de equipamentos anual</t>
  </si>
  <si>
    <t>Escova de Mão, corpo em madeira e cerdas de polipropileno ou nylon</t>
  </si>
  <si>
    <t>Pacote</t>
  </si>
  <si>
    <t xml:space="preserve">Flanela Para Limpeza 38 X 58cm Grande </t>
  </si>
  <si>
    <t>Lã de aço, pacote com 08 unidades</t>
  </si>
  <si>
    <t>Lâmina de metal para roçadeira, 2 pontas</t>
  </si>
  <si>
    <t xml:space="preserve">Luva de segurança tricotada com fios de Algodão e poliéster, antiderrapante na face palmar e dedos, sem costuras internas, punho tricotado com Algodão e elastano. </t>
  </si>
  <si>
    <t>par</t>
  </si>
  <si>
    <t>Óleo lubrificante multiuso, sem aditivos, derivado de petróleo (lubrificar portas, grades, basculantes, caixilhos, janelas de ferro (de malha, enrolar, pantográfica, correr, etc.), embalagem com 100ml;</t>
  </si>
  <si>
    <t>Pano de chão, modelo extra duplo, em algodão, alvejado, trama fechada tam. 76x49cm</t>
  </si>
  <si>
    <t>Papel higiênico branco rolão, 100% celulose,  macio, alta absorção, com 300m (caixa contendo 08 unidades)</t>
  </si>
  <si>
    <t>Papel toalha branco, folha dupla, 100% de celulose virgem, com alto poder de absorção, interfolhado, 23x21, com duas dobras, fardo com 1000 folhas, (separados em pacotes de 250 folhas)</t>
  </si>
  <si>
    <t>Fardo</t>
  </si>
  <si>
    <t>Respirador (Máscara) descartável classe PFF-2 testado conforme norma NBR 13698 para Peças Semi Faciais Filtrante</t>
  </si>
  <si>
    <t>Sabão em barra glicerinado</t>
  </si>
  <si>
    <t>Quilo</t>
  </si>
  <si>
    <t xml:space="preserve">Sabão em pó, biodegradável, grão azul, 1ª qualidade, com registro na ANVISA, Composição: tensoativo aniônico, fosfatos, sais inorgânicos, branqueador óptico, perfume, pigmento e enzimas. </t>
  </si>
  <si>
    <t>Kg.</t>
  </si>
  <si>
    <t>Saco para Lixo, Capacidade de 30 Litros Preto, pacote com 100 unidades</t>
  </si>
  <si>
    <t>Saco para Lixo, Capacidade de 40 Litros Preto,  pacote com 100 unidades</t>
  </si>
  <si>
    <t>Saco para Lixo, Capacidade de 50 Litros Preto,  pacote com 100 unidades</t>
  </si>
  <si>
    <t>Saco para Lixo, Capacidade de 60 Litros Preto,  pacote com 100 unidades</t>
  </si>
  <si>
    <t>Saco para Lixo, Capacidade de 100 Litros Preto,  pacote com 100 unidades</t>
  </si>
  <si>
    <t>Saco para lixo, capacidade de 300 litros, super reforçado, com espessura de no mínimo 08 micras,  pacote com 100 unidades</t>
  </si>
  <si>
    <t>Valor total mensal</t>
  </si>
  <si>
    <t>RELAÇÃO DO UNIFORME PARA O POSTO DE ENCARREGADO</t>
  </si>
  <si>
    <t>Unidade</t>
  </si>
  <si>
    <t>Quantidade semestral</t>
  </si>
  <si>
    <t>Quantidade anual</t>
  </si>
  <si>
    <t>Calça comprida modelo social, em Oxford, cor preta.</t>
  </si>
  <si>
    <t>Camisa social, manga curta ou 3/4</t>
  </si>
  <si>
    <t>Cordão para crachá, com presilha tipo jacaré, metálica.</t>
  </si>
  <si>
    <t>Crachá em PVC, contendo as seguintes informações: foto recente, nome e cargo do colaborador.</t>
  </si>
  <si>
    <t>Meia para sapato social</t>
  </si>
  <si>
    <t>Sapato tipo social, em couro cor preta com solado
antiderrapante.</t>
  </si>
  <si>
    <t>Valor total por colaborador (mensal / anual)</t>
  </si>
  <si>
    <t>RELAÇÃO DO UNIFORME PARA O POSTO DE SERVENTE</t>
  </si>
  <si>
    <t>Calça em brim reforçado, com elástico na cintura, bolsos na frente e atrás, em tamanho adequado para cada colaborador (P, M, G, GG, XG, etc.), na cor ou com a logo padrão da empresa contratada.</t>
  </si>
  <si>
    <t>Camiseta, manga curta, em malha de algodão cardado ou penteado 30.1, unissex, em tamanho adequado para cada colaborador (P, M, G, GG, XG, etc.).</t>
  </si>
  <si>
    <t>Camiseta, manga longa, em malha de algodão cardado ou penteado, unissex, em tamanho adequado para cada colaborador (P, M, G, GG, XG, etc.).</t>
  </si>
  <si>
    <t>Meia, masculina/feminina, com mínimo de 65% em algodão, cano médio, na cor preta ou azul marinho, em tamanho adequado para cada colaborador (P, M, G, GG, XG, etc.)</t>
  </si>
  <si>
    <t xml:space="preserve">Relógio de ponto eletrônico biométrico. Relógio ponto, material: aço, mostrador: digital, tipo: eletrônico, tipo impressão: digitais - biométrico, características adicionais: integração com qualquer rede software de ponto, que atenda as exigências da Portaria MTE 1510/2009, homologado pelo MTE e certificado pelo INMETRO. </t>
  </si>
  <si>
    <t>Adaptador de mangueira 1/2 para jardim</t>
  </si>
  <si>
    <t>Adaptador de mangueira 3/4 para jardim</t>
  </si>
  <si>
    <t>Avental Para Operador Roçadeira, Confeccionando em couro raspa, com tiras em raspa para ajuste no pescoço e contra e cintura, medida 1,00 x 0,60 cm</t>
  </si>
  <si>
    <t>Espanador de teto</t>
  </si>
  <si>
    <t>Rodo com borracha dupla, grande, 60cm</t>
  </si>
  <si>
    <t>Rodo plástico 40 cm.</t>
  </si>
  <si>
    <t>Vassoura para jardim plástica com cabo (ciscador plástico)</t>
  </si>
  <si>
    <t>Álcool em gel 70% para limpeza, embalagem de 500ml</t>
  </si>
  <si>
    <r>
      <t xml:space="preserve">Saco de papel descartável para aspirador de Pó e Água, </t>
    </r>
    <r>
      <rPr>
        <b/>
        <sz val="11"/>
        <rFont val="Arial"/>
        <family val="2"/>
      </rPr>
      <t/>
    </r>
  </si>
  <si>
    <t>Protetor solar, proteção UVA/UVB, FPS 30 ou superior, em gel ou creme, embalagem de 200ml</t>
  </si>
  <si>
    <t>Saponáceo cremoso, frasco com 250ml</t>
  </si>
  <si>
    <t>Fio de nylon para roçadeira compatível com a roçadeira a ser disponibilizada. Rolo com 312m.</t>
  </si>
  <si>
    <t>Bota meio cano impermeável, confeccioanda em PVC ou EVA.</t>
  </si>
  <si>
    <t>Chapéu/boné com protetor de nuca</t>
  </si>
  <si>
    <t>Sapato fechado em E.V.A (Etil Vinil Acetato) ou material similar, ou Bontina de Couro, Antiderrapante, na cor Preta, unissex, Fechado na parte superior e traseira.</t>
  </si>
  <si>
    <t>Corda com as seguintes especificações mínimas: Diâmetro da corda: 12 mm, Material: nylon ou polipropileno, Multifilamento, Trançado, Rolo com 100 metros</t>
  </si>
  <si>
    <t>Perneira para  roçador, material couro, aplicação proteção pessoal rouparia, tipo perneira bota.</t>
  </si>
  <si>
    <t>Base seladora,  emulsão acrílica de base aquosa, com aparência branca leitosa, desenvolvida para selar pisos de granilite, vinil (Paviflex), granito não polido e pisos porosos e laváveis em geral, em embalagem de 5 litros.</t>
  </si>
  <si>
    <t>Cera Acrílica Impermeabilizante, antiderrapante para pisos porosos e com alto fluxo, em embalagem de 5 litros.</t>
  </si>
  <si>
    <t>Desinfetante líquido concentrado, na seguinte proporção: Desinfecção: 1:5; Limpeza Geral: 1:100; e Manutenção: 1:200, em embalagem de 5 litros. (ref.: Desinfetante Floral 5 Litros Audax Max)</t>
  </si>
  <si>
    <t>Detergente líquido, neutro, glicerinado, componente ativo: linear alquilbenzeno sulfonato de sódio, com tensoativo biodegradável e seqüestrantes, testado dermatologicamente, em embalagem de 5 litros.</t>
  </si>
  <si>
    <t>Hipoclorito de Sódio com 5% de cloro ativo, em embalagem de 5 litros.</t>
  </si>
  <si>
    <t>Limpa vidro, em embalagam de 500ml.</t>
  </si>
  <si>
    <t>Lustra móveis, frasco com 200ml.</t>
  </si>
  <si>
    <t>Óleo para motor 2T, frasco de 500 ml, para roçadeira e motoserra.</t>
  </si>
  <si>
    <t>Removedor de ceras acrílicas e bases seladoras e impermeabilizantes a base d'água, concentrado, diluição puro 1:5, indicado para uso em pisos e superfícies laváveis, em embalagem de 5 litros. (Ref.: R16 - Removedor concentrado - Perol)</t>
  </si>
  <si>
    <t>Sabonete líquido concentrado para mãos, aromas variados, em embalagem de 5 litros.</t>
  </si>
  <si>
    <t>Esponja dupla face, med. aprox.110mm x 70mm x 21mm. Esponja de limpeza constituída de duas faces, sendo uma em fibra sintética com material abrasivo e a outra em espuma de poliuretano, ou similar, devidamente sobrepostas e firmemente unidas.</t>
  </si>
  <si>
    <r>
      <rPr>
        <b/>
        <sz val="10"/>
        <color theme="1"/>
        <rFont val="Arial"/>
        <family val="2"/>
      </rPr>
      <t>RESPONSÁVEL PELA PESQUISA DE PREÇOS:</t>
    </r>
    <r>
      <rPr>
        <sz val="10"/>
        <color theme="1"/>
        <rFont val="Arial"/>
        <family val="2"/>
      </rPr>
      <t xml:space="preserve"> Natália Maia Costa, SIAPE 2453850</t>
    </r>
  </si>
  <si>
    <r>
      <t xml:space="preserve">METODOLOGIA: </t>
    </r>
    <r>
      <rPr>
        <sz val="10"/>
        <rFont val="Arial"/>
        <family val="2"/>
      </rPr>
      <t>Média</t>
    </r>
  </si>
  <si>
    <r>
      <t>Protetor auditivo circum-auricular de segurança</t>
    </r>
    <r>
      <rPr>
        <b/>
        <sz val="10"/>
        <color theme="1"/>
        <rFont val="Arial"/>
        <family val="2"/>
      </rPr>
      <t xml:space="preserve"> tipo concha</t>
    </r>
    <r>
      <rPr>
        <sz val="10"/>
        <color theme="1"/>
        <rFont val="Arial"/>
        <family val="2"/>
      </rPr>
      <t xml:space="preserve"> haste total, atenuação de 16 dB. O Protetor auditivo possui espuma externa para maior conforto e ajuste as orelhas do usuário</t>
    </r>
  </si>
  <si>
    <r>
      <t xml:space="preserve">Escova para limpeza de aparelho sanitário, </t>
    </r>
    <r>
      <rPr>
        <b/>
        <sz val="10"/>
        <rFont val="Arial"/>
        <family val="2"/>
      </rPr>
      <t>com suporte</t>
    </r>
  </si>
  <si>
    <r>
      <t xml:space="preserve">Luva de segurança produzida em látex natural, na cor Amarela, verde ou zul, revestida internamente com flocos de algodão, punho com virola, </t>
    </r>
    <r>
      <rPr>
        <b/>
        <sz val="10"/>
        <rFont val="Arial"/>
        <family val="2"/>
      </rPr>
      <t>tamanho P, com certificado de aprovação do MTE.</t>
    </r>
  </si>
  <si>
    <r>
      <t xml:space="preserve">Luva de segurança produzida em látex natural, na cor Amarela, verde ou zul, revestida internamente com flocos de algodão, punho com virola, </t>
    </r>
    <r>
      <rPr>
        <b/>
        <sz val="10"/>
        <rFont val="Arial"/>
        <family val="2"/>
      </rPr>
      <t>tamanho M, com certificado de aprovação do MTE.</t>
    </r>
  </si>
  <si>
    <r>
      <t xml:space="preserve">Luva de segurança produzida em látex natural, na cor Amarela, verde ou zul, revestida internamente com flocos de algodão, punho com virola, </t>
    </r>
    <r>
      <rPr>
        <b/>
        <sz val="10"/>
        <rFont val="Arial"/>
        <family val="2"/>
      </rPr>
      <t>tamanhos G,  com certificado de aprovação do MTE.</t>
    </r>
  </si>
  <si>
    <t>Custo mensal total da contratada (Cálculo: depreciação mensal + manutenção mensal):</t>
  </si>
  <si>
    <t>Valor total anual:</t>
  </si>
  <si>
    <t>Total:</t>
  </si>
  <si>
    <t>Valor total mensal:</t>
  </si>
  <si>
    <t>Nota 1: O valor informado deverá ser o custo real do benefício (descontado o valor eventualmente pago pelo empregado).                           
Nota 2: Observar a previsão dos benefícios contidos em Acordos, Convenções e Dissídios Coletivos de Trabalho e atentar-se ao disposto no art. 6º da Instrução Normativa n.º 5/2017.</t>
  </si>
  <si>
    <t>Substituto na cobertura de Intervalo para repouso ou alimentação</t>
  </si>
  <si>
    <t>Uniforme</t>
  </si>
  <si>
    <r>
      <t>13 (Décimo-terceiro) salário</t>
    </r>
    <r>
      <rPr>
        <sz val="10"/>
        <color indexed="10"/>
        <rFont val="Arial"/>
        <family val="2"/>
      </rPr>
      <t xml:space="preserve">   </t>
    </r>
    <r>
      <rPr>
        <sz val="10"/>
        <color rgb="FFFF0000"/>
        <rFont val="Arial"/>
        <family val="2"/>
      </rPr>
      <t xml:space="preserve">Cálculo do valor = Rem/12  CONTA VINCULADA </t>
    </r>
    <r>
      <rPr>
        <sz val="10"/>
        <color indexed="10"/>
        <rFont val="Arial"/>
        <family val="2"/>
      </rPr>
      <t xml:space="preserve">   </t>
    </r>
  </si>
  <si>
    <r>
      <t xml:space="preserve">Férias e Adicional de Férias </t>
    </r>
    <r>
      <rPr>
        <sz val="10"/>
        <color rgb="FFFF0000"/>
        <rFont val="Arial"/>
        <family val="2"/>
      </rPr>
      <t xml:space="preserve"> [((1/11)+((1/3)/11)] (CONTA VINCULADA)</t>
    </r>
  </si>
  <si>
    <r>
      <t xml:space="preserve">Aviso Prévio Indenizado </t>
    </r>
    <r>
      <rPr>
        <sz val="10"/>
        <color rgb="FFFF0000"/>
        <rFont val="Arial"/>
        <family val="2"/>
      </rPr>
      <t>Cálculo do valor = {Rem/12 + 13º/12=(Rem/12)/12 + Férias/12=(Rem/12)/12 + (1/3xFérias)/12=1/3x[(Rem/12)/12]} x (30/30=1) x 5% de rotatividade anual - Os reflexos de 13º, F e 1/3F são referentes a 1 mês de APInd - Na prorrogação, poderão ser considerados 3 dias conforme Lei nº 12.506/2011, dependendo da análise do nº de ocorrências deste evento no período.</t>
    </r>
  </si>
  <si>
    <r>
      <t xml:space="preserve">Multa do FGTS  sobre o Aviso Prévio Indenizado </t>
    </r>
    <r>
      <rPr>
        <sz val="10"/>
        <color rgb="FFFF0000"/>
        <rFont val="Arial"/>
        <family val="2"/>
      </rPr>
      <t xml:space="preserve">(Cálculo do valor = [40%x8%x(Rem+13º+Férias+1/3xFérias)]x5% de rotatividade     </t>
    </r>
  </si>
  <si>
    <r>
      <t xml:space="preserve">Aviso Prévio Trabalhado </t>
    </r>
    <r>
      <rPr>
        <sz val="10"/>
        <color rgb="FFFF0000"/>
        <rFont val="Arial"/>
        <family val="2"/>
      </rPr>
      <t xml:space="preserve"> (negociar extinção/redução na 1ª prorrogação)  
Cálculo do valor= [(Rem/30)x7]/12 meses do contratox100% dos empregados - ao final do contrato.</t>
    </r>
  </si>
  <si>
    <r>
      <t xml:space="preserve">Multa do FGTS sobre o Aviso Prévio Trabalhado. </t>
    </r>
    <r>
      <rPr>
        <sz val="10"/>
        <color rgb="FFFF0000"/>
        <rFont val="Arial"/>
        <family val="2"/>
      </rPr>
      <t>Cálculo do valor = [40%(40%fgts x8%x(Rem+13º+Férias+1/3xFérias)]x100% dos empregados.</t>
    </r>
  </si>
  <si>
    <r>
      <t xml:space="preserve">Substituto na cobertura de Férias </t>
    </r>
    <r>
      <rPr>
        <sz val="10"/>
        <color rgb="FFFF0000"/>
        <rFont val="Arial"/>
        <family val="2"/>
      </rPr>
      <t xml:space="preserve">((FÉRIAS/11+13º/12+((1/3TERÇO DE FÉRIAS)/11 ))/12. CONTA VINCULADA  </t>
    </r>
  </si>
  <si>
    <r>
      <t xml:space="preserve">Substituto na cobertura de Afastamento Maternidade  </t>
    </r>
    <r>
      <rPr>
        <sz val="10"/>
        <color rgb="FFFF0000"/>
        <rFont val="Arial"/>
        <family val="2"/>
      </rPr>
      <t>Cálculo do valor = {[(BC)/12]x(4/12)}x2%</t>
    </r>
  </si>
  <si>
    <t>Materiais e equipamentos (depreciação)</t>
  </si>
  <si>
    <r>
      <t xml:space="preserve">Aviso Prévio Trabalhado </t>
    </r>
    <r>
      <rPr>
        <sz val="10"/>
        <color theme="4"/>
        <rFont val="Arial"/>
        <family val="2"/>
      </rPr>
      <t xml:space="preserve"> (negociar extinção/redução na 1ª prorrogação)  </t>
    </r>
    <r>
      <rPr>
        <sz val="10"/>
        <color rgb="FFFF0000"/>
        <rFont val="Arial"/>
        <family val="2"/>
      </rPr>
      <t xml:space="preserve">
Cálculo do valor= [(Rem/30)x7]/12 meses do contratox100% dos empregados - ao final do contrato.</t>
    </r>
  </si>
  <si>
    <t>Servente
Banheirista</t>
  </si>
  <si>
    <t>Nº DO PROCESSO: 23229.000552.2020-09</t>
  </si>
  <si>
    <r>
      <t xml:space="preserve">Adicional Insalubridade </t>
    </r>
    <r>
      <rPr>
        <sz val="10"/>
        <color rgb="FFFF0000"/>
        <rFont val="Arial"/>
        <family val="2"/>
      </rPr>
      <t>(Salário mínimo x percentual da insalubridade devida)</t>
    </r>
  </si>
  <si>
    <r>
      <t xml:space="preserve">Substituto na cobertura de Licença Paternidade </t>
    </r>
    <r>
      <rPr>
        <sz val="10"/>
        <color rgb="FFFF0000"/>
        <rFont val="Arial"/>
        <family val="2"/>
      </rPr>
      <t>Cálculo do valor = (5 dias/30dias) x (1/12 meses) x 6,24% taxa de fecundidade x 50% participação masculina</t>
    </r>
  </si>
  <si>
    <r>
      <t xml:space="preserve">Substituto na cobertura de Ausências Legais    </t>
    </r>
    <r>
      <rPr>
        <sz val="10"/>
        <color rgb="FFFF0000"/>
        <rFont val="Arial"/>
        <family val="2"/>
      </rPr>
      <t xml:space="preserve"> Cálculo do valor = (1 dia/30 dias) x (1/12 meses)</t>
    </r>
  </si>
  <si>
    <r>
      <t>Substituto na cobertura de Ausência por Acidente de Trabalho</t>
    </r>
    <r>
      <rPr>
        <sz val="10"/>
        <color indexed="10"/>
        <rFont val="Arial"/>
        <family val="2"/>
      </rPr>
      <t xml:space="preserve">     </t>
    </r>
    <r>
      <rPr>
        <sz val="10"/>
        <color rgb="FFFF0000"/>
        <rFont val="Arial"/>
        <family val="2"/>
      </rPr>
      <t xml:space="preserve"> Cálculo do valor = (0,91 dias / 30 dias)x(1/12 meses)</t>
    </r>
  </si>
  <si>
    <r>
      <t xml:space="preserve">Substituto na cobertura de Ausência por Doença </t>
    </r>
    <r>
      <rPr>
        <sz val="10"/>
        <color rgb="FFFF0000"/>
        <rFont val="Arial"/>
        <family val="2"/>
      </rPr>
      <t>Cálculo do valor = (5,96 dias/30 dias) x (1/12 meses)</t>
    </r>
  </si>
  <si>
    <r>
      <t xml:space="preserve">Quantidade de dias trabalhados por mês </t>
    </r>
    <r>
      <rPr>
        <sz val="10"/>
        <color rgb="FFFF0000"/>
        <rFont val="Arial"/>
        <family val="2"/>
      </rPr>
      <t>(segunda-feira à sábado = Dias trabalhados = 30,42 dias/mês * (6 dias (seg-sab) / 7 dias por semana) - [12 feriados * (probabilidade de não coincidir com domingo 6/7) / 12 meses] = 25,22 dias/mês</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</si>
  <si>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 (incerido em 24/09/2018, IN 07/2018)
Nota 4: Nota técnica 001/2013 da Secretaria de Controle Interno do Conselho da Justiça Federal recomenda: "...a manutenção do percentual de 3% na planilha de formação de custos, somente para fins de composição de encargos máximos admitidos pela Administração; e, no momento da apresentação das propostas, as empresas devem comprovar a sua variação com a apresentação do FAP (multiplicador), situação que autorizará o aumento dos custos caso o RAT ajustado ultrapasse o percentil dos 3%, limitados aos 6% previstos no referido decreto."</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</si>
  <si>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 
Nota 2: Para as Férias e afastamento maternidade a base de calculo será a remuneração.
Nota 3: Nas prorrogações o percentual para o substituto será alterado conforme orientação da Nota 4 do Submódulo 2.1.</t>
  </si>
  <si>
    <r>
      <rPr>
        <sz val="10"/>
        <color rgb="FFFF0000"/>
        <rFont val="Arial"/>
        <family val="2"/>
      </rPr>
      <t xml:space="preserve">Nota 1:  Como a planilha de custos e formação de preços é calculada mensalmente, provisiona-se proporcionalmente 1/12 (um doze avos) dos valores referentes à gratificação natalina, férias e adicional de férias;
Nota 2:  O adicional de férias contido no Submódulo 2.1 corresponde a 1/3 (um terço) da remuneração que por sua vez é dividido por 12 (doze) conforme Nota 1 acima;                                                                   </t>
    </r>
    <r>
      <rPr>
        <sz val="10"/>
        <rFont val="Arial"/>
        <family val="2"/>
      </rPr>
      <t xml:space="preserve">                                                                                                                                                          
</t>
    </r>
    <r>
      <rPr>
        <b/>
        <u/>
        <sz val="10"/>
        <color rgb="FFFF0000"/>
        <rFont val="Arial"/>
        <family val="2"/>
      </rPr>
      <t xml:space="preserve">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t>
    </r>
    <r>
      <rPr>
        <b/>
        <u/>
        <sz val="10"/>
        <color theme="3"/>
        <rFont val="Arial"/>
        <family val="2"/>
      </rPr>
      <t>custo não renovável</t>
    </r>
    <r>
      <rPr>
        <b/>
        <u/>
        <sz val="10"/>
        <color rgb="FFFF0000"/>
        <rFont val="Arial"/>
        <family val="2"/>
      </rPr>
      <t xml:space="preserve">. (incerido em 24/09/2018, IN 07/2018)
</t>
    </r>
    <r>
      <rPr>
        <u/>
        <sz val="10"/>
        <color rgb="FFFF0000"/>
        <rFont val="Arial"/>
        <family val="2"/>
      </rPr>
      <t xml:space="preserve">Nota 4 Na prorrogação, a base de cálculo das férias do 4.1.A será 9,075% (para órgãos que trabalham com conta vinculada a soma das férias (9,075% + Adicional de Férias (3,025%) = 12,10%), sobre a remuneração e no 2.1.B será somente 1/3 de férias = a 3,03%, </t>
    </r>
  </si>
  <si>
    <t>Valor mensal por posto (custo total / 30 serventes):</t>
  </si>
  <si>
    <t>Valor mensal por posto (custo mensal / 30 serventes):</t>
  </si>
  <si>
    <t>Material anual</t>
  </si>
  <si>
    <t>Material mensal</t>
  </si>
  <si>
    <r>
      <t xml:space="preserve">Serviço de limpeza, conservação e higienização para atender ao </t>
    </r>
    <r>
      <rPr>
        <b/>
        <sz val="11"/>
        <rFont val="Arial"/>
        <family val="2"/>
      </rPr>
      <t>IFRR/Campus Boa Vista</t>
    </r>
    <r>
      <rPr>
        <sz val="11"/>
        <rFont val="Arial"/>
        <family val="2"/>
      </rPr>
      <t xml:space="preserve"> – Jornada de Trabalho de 44 horas semanais.
Metragem total das áreas:
Interna 18.699,25m2; Externa 23.374,33m2; e Esquadria 4.342,33m2</t>
    </r>
  </si>
  <si>
    <r>
      <t>Nota 1 - Lei nº 13.932, de 11 de dezembro de 2019 "Art. 12. A partir de 1º de janeiro de 2020, fica extinta a contribuição social instituída por meio do art. 1º da Lei Complementar nº 110, de 29 de junho de 2001."
Nota 2 - A Administração "</t>
    </r>
    <r>
      <rPr>
        <i/>
        <sz val="10"/>
        <color rgb="FFFF0000"/>
        <rFont val="Arial"/>
        <family val="2"/>
      </rPr>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t>
    </r>
    <r>
      <rPr>
        <b/>
        <sz val="10"/>
        <color rgb="FFFF0000"/>
        <rFont val="Arial"/>
        <family val="2"/>
      </rPr>
      <t>" (Enunciado do Boletim de Jurisprudência nº 176/2017).</t>
    </r>
  </si>
  <si>
    <t>Nº DO PROCESSO: 23229.000626.2021-80</t>
  </si>
  <si>
    <r>
      <rPr>
        <b/>
        <sz val="10"/>
        <rFont val="Arial"/>
        <family val="2"/>
      </rPr>
      <t>PROCESSO:</t>
    </r>
    <r>
      <rPr>
        <sz val="10"/>
        <rFont val="Arial"/>
        <family val="2"/>
      </rPr>
      <t xml:space="preserve"> 23229.000626.2021-80</t>
    </r>
  </si>
  <si>
    <r>
      <rPr>
        <b/>
        <sz val="10"/>
        <rFont val="Arial"/>
        <family val="2"/>
      </rPr>
      <t>OBJETO:</t>
    </r>
    <r>
      <rPr>
        <sz val="10"/>
        <rFont val="Arial"/>
        <family val="2"/>
      </rPr>
      <t xml:space="preserve"> Contratação de pessoa jurídica especializada na prestação dos serviços de limpeza e conservação, incluindo mão de obra exclusiva e fornecimento de materiais e equipamentos, para atender ao IFRR/Campus Boa Vista</t>
    </r>
  </si>
  <si>
    <t>PARÂMETRO:</t>
  </si>
  <si>
    <t>CCT 13/2022</t>
  </si>
  <si>
    <r>
      <t xml:space="preserve">Transporte </t>
    </r>
    <r>
      <rPr>
        <sz val="10"/>
        <color rgb="FFFF0000"/>
        <rFont val="Arial"/>
        <family val="2"/>
      </rPr>
      <t xml:space="preserve">(Cálculo = </t>
    </r>
    <r>
      <rPr>
        <sz val="10"/>
        <rFont val="Arial"/>
        <family val="2"/>
      </rPr>
      <t xml:space="preserve"> </t>
    </r>
    <r>
      <rPr>
        <sz val="10"/>
        <color rgb="FFFF0000"/>
        <rFont val="Arial"/>
        <family val="2"/>
      </rPr>
      <t>4,50 x 2 passagens x 26 dias - salário base x 6%)</t>
    </r>
  </si>
  <si>
    <r>
      <t xml:space="preserve">Auxílio-Refeição/Alimentação </t>
    </r>
    <r>
      <rPr>
        <sz val="10"/>
        <color rgb="FFFF0000"/>
        <rFont val="Arial"/>
        <family val="2"/>
      </rPr>
      <t>(Cálculo = 19,50 x 22 dias - 0,25)</t>
    </r>
  </si>
  <si>
    <t>Boa Vista, 28/03/2022</t>
  </si>
  <si>
    <t>VALE REFEIÇÃO</t>
  </si>
  <si>
    <t>VALOR UNITÁRIO DO VALE REFEIÇÃO</t>
  </si>
  <si>
    <t>DESCONTO DO TRABALHADOR</t>
  </si>
  <si>
    <t>VALOR TOTAL DO VALE REFEIÇÃO</t>
  </si>
  <si>
    <t>QTD VALE REFEIÇÃO MÊS**</t>
  </si>
  <si>
    <t>*Fornecimento de Vale refeição conforme Cláusula Décima da CCT RR000013/2022.
**De acordo com o §1.º do art. 71 da CLT, quando a duração da carga diária de trabalho não ultrapassar as 4 (quatro) horas, não é obrigatório a concessão de intervalo para repouso ou alimentação, ou seja, aos sábados não será concedido vale refeição.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</si>
</sst>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8" formatCode="&quot;R$&quot;\ #,##0.00;[Red]\-&quot;R$&quot;\ #,##0.00"/>
    <numFmt numFmtId="44" formatCode="_-&quot;R$&quot;\ * #,##0.00_-;\-&quot;R$&quot;\ * #,##0.00_-;_-&quot;R$&quot;\ * &quot;-&quot;??_-;_-@_-"/>
    <numFmt numFmtId="43" formatCode="_-* #,##0.00_-;\-* #,##0.00_-;_-* &quot;-&quot;??_-;_-@_-"/>
    <numFmt numFmtId="164" formatCode="#,##0.00000000"/>
    <numFmt numFmtId="165" formatCode="_(* #,##0.00_);_(* \(#,##0.00\);_(* &quot;-&quot;??_);_(@_)"/>
    <numFmt numFmtId="166" formatCode="_(* #,##0.0000_);_(* \(#,##0.0000\);_(* &quot;-&quot;??_);_(@_)"/>
    <numFmt numFmtId="167" formatCode="_(* #,##0_);_(* \(#,##0\);_(* &quot;-&quot;??_);_(@_)"/>
    <numFmt numFmtId="168" formatCode="_(&quot;R$ &quot;* #,##0.00_);_(&quot;R$ &quot;* \(#,##0.00\);_(&quot;R$ &quot;* &quot;-&quot;??_);_(@_)"/>
    <numFmt numFmtId="169" formatCode="&quot;R$ &quot;#,##0.00_);[Red]\(&quot;R$ &quot;#,##0.00\)"/>
    <numFmt numFmtId="170" formatCode="&quot;R$&quot;\ #,##0"/>
    <numFmt numFmtId="171" formatCode="_-* #,##0.000000_-;\-* #,##0.000000_-;_-* &quot;-&quot;??_-;_-@_-"/>
  </numFmts>
  <fonts count="40" x14ac:knownFonts="1">
    <font>
      <sz val="10"/>
      <name val="Arial"/>
      <family val="2"/>
    </font>
    <font>
      <sz val="11"/>
      <color theme="1"/>
      <name val="Calibri"/>
      <family val="2"/>
      <scheme val="minor"/>
    </font>
    <font>
      <sz val="10"/>
      <name val="Arial"/>
      <family val="2"/>
    </font>
    <font>
      <sz val="10"/>
      <name val="Arial"/>
      <family val="2"/>
    </font>
    <font>
      <u/>
      <sz val="8.8000000000000007"/>
      <color theme="10"/>
      <name val="Calibri"/>
      <family val="2"/>
    </font>
    <font>
      <sz val="8"/>
      <color theme="1"/>
      <name val="Arial"/>
      <family val="2"/>
    </font>
    <font>
      <b/>
      <sz val="12"/>
      <color theme="1"/>
      <name val="Arial"/>
      <family val="2"/>
    </font>
    <font>
      <sz val="12"/>
      <color theme="1"/>
      <name val="Arial"/>
      <family val="2"/>
    </font>
    <font>
      <sz val="10"/>
      <color theme="0"/>
      <name val="Arial"/>
      <family val="2"/>
    </font>
    <font>
      <b/>
      <sz val="12"/>
      <color theme="0"/>
      <name val="Arial"/>
      <family val="2"/>
    </font>
    <font>
      <b/>
      <sz val="10"/>
      <name val="Arial"/>
      <family val="2"/>
    </font>
    <font>
      <sz val="9"/>
      <name val="Arial"/>
      <family val="2"/>
    </font>
    <font>
      <b/>
      <sz val="11"/>
      <name val="Arial"/>
      <family val="2"/>
    </font>
    <font>
      <sz val="10"/>
      <color theme="1"/>
      <name val="Arial"/>
      <family val="2"/>
    </font>
    <font>
      <b/>
      <sz val="10"/>
      <color theme="1"/>
      <name val="Arial"/>
      <family val="2"/>
    </font>
    <font>
      <sz val="11"/>
      <name val="Arial"/>
      <family val="2"/>
    </font>
    <font>
      <sz val="11"/>
      <color rgb="FFFF0000"/>
      <name val="Arial"/>
      <family val="2"/>
    </font>
    <font>
      <sz val="10"/>
      <color rgb="FFFF0000"/>
      <name val="Arial"/>
      <family val="2"/>
    </font>
    <font>
      <b/>
      <u/>
      <sz val="10"/>
      <name val="Arial"/>
      <family val="2"/>
    </font>
    <font>
      <b/>
      <sz val="10"/>
      <color rgb="FFFF0000"/>
      <name val="Arial"/>
      <family val="2"/>
    </font>
    <font>
      <sz val="10"/>
      <color indexed="10"/>
      <name val="Arial"/>
      <family val="2"/>
    </font>
    <font>
      <b/>
      <u/>
      <sz val="10"/>
      <color rgb="FFFF0000"/>
      <name val="Arial"/>
      <family val="2"/>
    </font>
    <font>
      <b/>
      <u/>
      <sz val="10"/>
      <color theme="3"/>
      <name val="Arial"/>
      <family val="2"/>
    </font>
    <font>
      <b/>
      <sz val="10"/>
      <color rgb="FF000000"/>
      <name val="Arial"/>
      <family val="2"/>
    </font>
    <font>
      <sz val="10"/>
      <color rgb="FF000000"/>
      <name val="Arial"/>
      <family val="2"/>
    </font>
    <font>
      <sz val="9"/>
      <color rgb="FF000000"/>
      <name val="Arial"/>
      <family val="2"/>
    </font>
    <font>
      <sz val="6"/>
      <color rgb="FFFF0000"/>
      <name val="Arial"/>
      <family val="2"/>
    </font>
    <font>
      <b/>
      <sz val="6"/>
      <color rgb="FFFF0000"/>
      <name val="Arial"/>
      <family val="2"/>
    </font>
    <font>
      <b/>
      <sz val="9"/>
      <name val="Arial"/>
      <family val="2"/>
    </font>
    <font>
      <sz val="10"/>
      <color theme="4"/>
      <name val="Arial"/>
      <family val="2"/>
    </font>
    <font>
      <sz val="9"/>
      <color indexed="81"/>
      <name val="Tahoma"/>
      <family val="2"/>
    </font>
    <font>
      <b/>
      <sz val="9"/>
      <color indexed="81"/>
      <name val="Tahoma"/>
      <family val="2"/>
    </font>
    <font>
      <u/>
      <sz val="10"/>
      <color rgb="FFFF0000"/>
      <name val="Arial"/>
      <family val="2"/>
    </font>
    <font>
      <b/>
      <sz val="12"/>
      <name val="Arial"/>
      <family val="2"/>
    </font>
    <font>
      <sz val="9"/>
      <color theme="0"/>
      <name val="Arial"/>
      <family val="2"/>
    </font>
    <font>
      <b/>
      <sz val="9"/>
      <color theme="0"/>
      <name val="Arial"/>
      <family val="2"/>
    </font>
    <font>
      <b/>
      <sz val="11"/>
      <color rgb="FF000000"/>
      <name val="Arial"/>
      <family val="2"/>
    </font>
    <font>
      <b/>
      <sz val="11"/>
      <color theme="1"/>
      <name val="Arial"/>
      <family val="2"/>
    </font>
    <font>
      <b/>
      <sz val="9"/>
      <color rgb="FF000000"/>
      <name val="Arial"/>
      <family val="2"/>
    </font>
    <font>
      <i/>
      <sz val="10"/>
      <color rgb="FFFF0000"/>
      <name val="Arial"/>
      <family val="2"/>
    </font>
  </fonts>
  <fills count="18">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0"/>
        <bgColor indexed="31"/>
      </patternFill>
    </fill>
    <fill>
      <patternFill patternType="solid">
        <fgColor rgb="FFDDDDDD"/>
        <bgColor indexed="64"/>
      </patternFill>
    </fill>
    <fill>
      <patternFill patternType="solid">
        <fgColor rgb="FFEDEDED"/>
        <bgColor indexed="64"/>
      </patternFill>
    </fill>
    <fill>
      <patternFill patternType="solid">
        <fgColor theme="0"/>
        <bgColor indexed="26"/>
      </patternFill>
    </fill>
    <fill>
      <patternFill patternType="solid">
        <fgColor theme="0" tint="-4.9989318521683403E-2"/>
        <bgColor indexed="64"/>
      </patternFill>
    </fill>
    <fill>
      <patternFill patternType="solid">
        <fgColor rgb="FFFFFF00"/>
        <bgColor indexed="64"/>
      </patternFill>
    </fill>
    <fill>
      <patternFill patternType="solid">
        <fgColor theme="0"/>
        <bgColor rgb="FFFFFF00"/>
      </patternFill>
    </fill>
    <fill>
      <patternFill patternType="solid">
        <fgColor theme="8" tint="0.39997558519241921"/>
        <bgColor indexed="64"/>
      </patternFill>
    </fill>
    <fill>
      <patternFill patternType="solid">
        <fgColor theme="8" tint="0.59999389629810485"/>
        <bgColor indexed="64"/>
      </patternFill>
    </fill>
    <fill>
      <patternFill patternType="solid">
        <fgColor rgb="FFCCFFFF"/>
        <bgColor indexed="31"/>
      </patternFill>
    </fill>
    <fill>
      <patternFill patternType="solid">
        <fgColor rgb="FFBFBFBF"/>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C000"/>
        <bgColor rgb="FFFFFF00"/>
      </patternFill>
    </fill>
  </fills>
  <borders count="7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24">
    <xf numFmtId="0" fontId="0" fillId="0" borderId="0"/>
    <xf numFmtId="44" fontId="2" fillId="0" borderId="0" applyBorder="0" applyAlignment="0" applyProtection="0"/>
    <xf numFmtId="0" fontId="3" fillId="0" borderId="0"/>
    <xf numFmtId="165" fontId="3" fillId="0" borderId="0" applyFont="0" applyFill="0" applyBorder="0" applyAlignment="0" applyProtection="0"/>
    <xf numFmtId="0" fontId="4" fillId="0" borderId="0" applyNumberFormat="0" applyFill="0" applyBorder="0" applyAlignment="0" applyProtection="0">
      <alignment vertical="top"/>
      <protection locked="0"/>
    </xf>
    <xf numFmtId="168" fontId="1"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1"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2" fillId="0" borderId="0"/>
    <xf numFmtId="165" fontId="2" fillId="0" borderId="0" applyFont="0" applyFill="0" applyBorder="0" applyAlignment="0" applyProtection="0"/>
    <xf numFmtId="9" fontId="3" fillId="0" borderId="0" applyFill="0" applyBorder="0" applyAlignment="0" applyProtection="0"/>
    <xf numFmtId="168" fontId="3" fillId="0" borderId="0" applyFill="0" applyBorder="0" applyAlignment="0" applyProtection="0"/>
    <xf numFmtId="9" fontId="5" fillId="0" borderId="0"/>
    <xf numFmtId="9" fontId="3" fillId="0" borderId="0" applyFont="0" applyFill="0" applyBorder="0" applyAlignment="0" applyProtection="0"/>
    <xf numFmtId="43" fontId="2" fillId="0" borderId="0" applyFont="0" applyFill="0" applyBorder="0" applyAlignment="0" applyProtection="0"/>
  </cellStyleXfs>
  <cellXfs count="577">
    <xf numFmtId="0" fontId="0" fillId="0" borderId="0" xfId="0"/>
    <xf numFmtId="49" fontId="7" fillId="3" borderId="0" xfId="0" applyNumberFormat="1" applyFont="1" applyFill="1" applyBorder="1" applyAlignment="1">
      <alignment horizontal="center" vertical="center" wrapText="1"/>
    </xf>
    <xf numFmtId="44" fontId="7" fillId="3" borderId="0" xfId="0" applyNumberFormat="1" applyFont="1" applyFill="1" applyBorder="1" applyAlignment="1">
      <alignment horizontal="center" vertical="center" wrapText="1"/>
    </xf>
    <xf numFmtId="44" fontId="6" fillId="3" borderId="0" xfId="0" applyNumberFormat="1" applyFont="1" applyFill="1" applyBorder="1"/>
    <xf numFmtId="44" fontId="8" fillId="3" borderId="0" xfId="1" applyFont="1" applyFill="1" applyBorder="1" applyAlignment="1">
      <alignment horizontal="center" wrapText="1"/>
    </xf>
    <xf numFmtId="44" fontId="8" fillId="3" borderId="0" xfId="1" applyFont="1" applyFill="1" applyAlignment="1">
      <alignment horizontal="center"/>
    </xf>
    <xf numFmtId="44" fontId="8" fillId="3" borderId="0" xfId="1" applyFont="1" applyFill="1"/>
    <xf numFmtId="44" fontId="0" fillId="0" borderId="0" xfId="1" applyFont="1"/>
    <xf numFmtId="44" fontId="2" fillId="0" borderId="12" xfId="1" applyBorder="1"/>
    <xf numFmtId="44" fontId="10" fillId="0" borderId="12" xfId="1" applyFont="1" applyBorder="1" applyAlignment="1">
      <alignment vertical="center"/>
    </xf>
    <xf numFmtId="44" fontId="10" fillId="0" borderId="12" xfId="1" applyFont="1" applyBorder="1"/>
    <xf numFmtId="44" fontId="11" fillId="0" borderId="0" xfId="1" applyFont="1" applyAlignment="1">
      <alignment horizontal="center"/>
    </xf>
    <xf numFmtId="0" fontId="10" fillId="0" borderId="0" xfId="0" applyFont="1"/>
    <xf numFmtId="0" fontId="0" fillId="0" borderId="0" xfId="0" applyFont="1"/>
    <xf numFmtId="0" fontId="0" fillId="0" borderId="0" xfId="0" applyFont="1" applyAlignment="1">
      <alignment vertical="center" wrapText="1"/>
    </xf>
    <xf numFmtId="0" fontId="13" fillId="0" borderId="0" xfId="0" applyFont="1" applyAlignment="1">
      <alignment vertical="center"/>
    </xf>
    <xf numFmtId="0" fontId="0" fillId="0" borderId="12" xfId="0" applyFont="1" applyBorder="1" applyAlignment="1">
      <alignment horizontal="center" vertical="center"/>
    </xf>
    <xf numFmtId="0" fontId="0" fillId="0" borderId="12" xfId="0" applyFont="1" applyBorder="1"/>
    <xf numFmtId="0" fontId="13" fillId="3" borderId="0" xfId="0" applyFont="1" applyFill="1"/>
    <xf numFmtId="0" fontId="13" fillId="3" borderId="0" xfId="0" applyFont="1" applyFill="1" applyAlignment="1">
      <alignment wrapText="1"/>
    </xf>
    <xf numFmtId="0" fontId="14" fillId="3" borderId="0" xfId="0" applyFont="1" applyFill="1" applyAlignment="1">
      <alignment horizontal="center" vertical="center"/>
    </xf>
    <xf numFmtId="0" fontId="14" fillId="3" borderId="0" xfId="0" applyFont="1" applyFill="1" applyAlignment="1">
      <alignment horizontal="center" vertical="center" wrapText="1"/>
    </xf>
    <xf numFmtId="0" fontId="0" fillId="0" borderId="0" xfId="0" applyFont="1" applyAlignment="1">
      <alignment horizontal="left" vertical="center" wrapText="1"/>
    </xf>
    <xf numFmtId="0" fontId="13" fillId="0" borderId="1" xfId="0" applyFont="1" applyBorder="1" applyAlignment="1">
      <alignment vertical="center"/>
    </xf>
    <xf numFmtId="0" fontId="10" fillId="3" borderId="12" xfId="0" applyFont="1" applyFill="1" applyBorder="1" applyAlignment="1">
      <alignment horizontal="center" vertical="center" wrapText="1"/>
    </xf>
    <xf numFmtId="0" fontId="0" fillId="3" borderId="12" xfId="0" applyFont="1" applyFill="1" applyBorder="1" applyAlignment="1">
      <alignment horizontal="center" vertical="center" wrapText="1"/>
    </xf>
    <xf numFmtId="0" fontId="0" fillId="3" borderId="12" xfId="0" applyFont="1" applyFill="1" applyBorder="1" applyAlignment="1">
      <alignment horizontal="justify" vertical="center" wrapText="1"/>
    </xf>
    <xf numFmtId="0" fontId="13" fillId="3" borderId="12" xfId="0" applyFont="1" applyFill="1" applyBorder="1" applyAlignment="1">
      <alignment horizontal="center" vertical="center" wrapText="1"/>
    </xf>
    <xf numFmtId="9" fontId="0" fillId="3" borderId="12" xfId="0" applyNumberFormat="1" applyFont="1" applyFill="1" applyBorder="1" applyAlignment="1">
      <alignment horizontal="center" vertical="center" wrapText="1"/>
    </xf>
    <xf numFmtId="8" fontId="13" fillId="3" borderId="12" xfId="0" applyNumberFormat="1" applyFont="1" applyFill="1" applyBorder="1" applyAlignment="1">
      <alignment horizontal="center" vertical="center" wrapText="1"/>
    </xf>
    <xf numFmtId="0" fontId="13" fillId="3" borderId="12" xfId="0" applyFont="1" applyFill="1" applyBorder="1" applyAlignment="1">
      <alignment horizontal="justify" vertical="center" wrapText="1"/>
    </xf>
    <xf numFmtId="9" fontId="13" fillId="3" borderId="12" xfId="0" applyNumberFormat="1" applyFont="1" applyFill="1" applyBorder="1" applyAlignment="1">
      <alignment horizontal="center" vertical="center" wrapText="1"/>
    </xf>
    <xf numFmtId="0" fontId="13" fillId="3" borderId="12" xfId="0" applyFont="1" applyFill="1" applyBorder="1" applyAlignment="1">
      <alignment horizontal="center" vertical="center"/>
    </xf>
    <xf numFmtId="0" fontId="10" fillId="3" borderId="12" xfId="0" applyFont="1" applyFill="1" applyBorder="1" applyAlignment="1">
      <alignment horizontal="justify" vertical="center" wrapText="1"/>
    </xf>
    <xf numFmtId="44" fontId="13" fillId="3" borderId="12" xfId="0" applyNumberFormat="1" applyFont="1" applyFill="1" applyBorder="1" applyAlignment="1">
      <alignment horizontal="center" vertical="center"/>
    </xf>
    <xf numFmtId="8" fontId="13" fillId="3" borderId="12" xfId="0" applyNumberFormat="1" applyFont="1" applyFill="1" applyBorder="1" applyAlignment="1">
      <alignment horizontal="center" vertical="center"/>
    </xf>
    <xf numFmtId="0" fontId="13" fillId="3" borderId="12" xfId="0" applyFont="1" applyFill="1" applyBorder="1" applyAlignment="1">
      <alignment horizontal="center"/>
    </xf>
    <xf numFmtId="44" fontId="13" fillId="3" borderId="12" xfId="0" applyNumberFormat="1" applyFont="1" applyFill="1" applyBorder="1"/>
    <xf numFmtId="0" fontId="0" fillId="3" borderId="12" xfId="0" applyFont="1" applyFill="1" applyBorder="1" applyAlignment="1">
      <alignment horizontal="center" vertical="center"/>
    </xf>
    <xf numFmtId="8" fontId="14" fillId="3" borderId="12" xfId="0" applyNumberFormat="1" applyFont="1" applyFill="1" applyBorder="1"/>
    <xf numFmtId="8" fontId="0" fillId="3" borderId="12" xfId="0" applyNumberFormat="1" applyFont="1" applyFill="1" applyBorder="1" applyAlignment="1">
      <alignment horizontal="center" vertical="center"/>
    </xf>
    <xf numFmtId="0" fontId="0" fillId="3" borderId="12" xfId="0" applyFont="1" applyFill="1" applyBorder="1" applyAlignment="1">
      <alignment vertical="center" wrapText="1"/>
    </xf>
    <xf numFmtId="0" fontId="0" fillId="3" borderId="0" xfId="0" applyFont="1" applyFill="1" applyAlignment="1">
      <alignment vertical="center"/>
    </xf>
    <xf numFmtId="0" fontId="0" fillId="3" borderId="12" xfId="0" applyNumberFormat="1"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0" xfId="0" applyFont="1" applyFill="1" applyBorder="1" applyAlignment="1">
      <alignment horizontal="center"/>
    </xf>
    <xf numFmtId="44" fontId="2" fillId="0" borderId="12" xfId="1" applyBorder="1" applyAlignment="1">
      <alignment horizontal="center" vertical="center" wrapText="1"/>
    </xf>
    <xf numFmtId="8" fontId="0" fillId="3" borderId="12" xfId="0" applyNumberFormat="1" applyFont="1" applyFill="1" applyBorder="1" applyAlignment="1">
      <alignment vertical="center"/>
    </xf>
    <xf numFmtId="8" fontId="0" fillId="0" borderId="0" xfId="0" applyNumberFormat="1" applyFont="1"/>
    <xf numFmtId="0" fontId="15" fillId="3" borderId="0" xfId="17" applyFont="1" applyFill="1"/>
    <xf numFmtId="0" fontId="15" fillId="3" borderId="0" xfId="9" applyFont="1" applyFill="1" applyBorder="1" applyAlignment="1">
      <alignment vertical="center" wrapText="1"/>
    </xf>
    <xf numFmtId="49" fontId="15" fillId="3" borderId="12" xfId="17" applyNumberFormat="1" applyFont="1" applyFill="1" applyBorder="1" applyAlignment="1">
      <alignment horizontal="center" vertical="center" wrapText="1"/>
    </xf>
    <xf numFmtId="0" fontId="15" fillId="3" borderId="12" xfId="17" applyFont="1" applyFill="1" applyBorder="1" applyAlignment="1">
      <alignment horizontal="center" vertical="center" wrapText="1"/>
    </xf>
    <xf numFmtId="0" fontId="15" fillId="3" borderId="12" xfId="17" applyFont="1" applyFill="1" applyBorder="1" applyAlignment="1"/>
    <xf numFmtId="165" fontId="15" fillId="3" borderId="12" xfId="3" applyFont="1" applyFill="1" applyBorder="1"/>
    <xf numFmtId="0" fontId="15" fillId="3" borderId="12" xfId="17" applyFont="1" applyFill="1" applyBorder="1" applyAlignment="1">
      <alignment horizontal="center"/>
    </xf>
    <xf numFmtId="165" fontId="15" fillId="3" borderId="12" xfId="3" applyFont="1" applyFill="1" applyBorder="1" applyAlignment="1">
      <alignment vertical="center"/>
    </xf>
    <xf numFmtId="0" fontId="15" fillId="3" borderId="0" xfId="17" applyFont="1" applyFill="1" applyBorder="1" applyAlignment="1">
      <alignment horizontal="center"/>
    </xf>
    <xf numFmtId="0" fontId="15" fillId="3" borderId="0" xfId="17" applyFont="1" applyFill="1" applyBorder="1" applyAlignment="1">
      <alignment horizontal="center" vertical="center"/>
    </xf>
    <xf numFmtId="168" fontId="15" fillId="3" borderId="0" xfId="6" applyFont="1" applyFill="1" applyBorder="1"/>
    <xf numFmtId="0" fontId="16" fillId="3" borderId="0" xfId="17" applyFont="1" applyFill="1"/>
    <xf numFmtId="0" fontId="0" fillId="0" borderId="0" xfId="0" applyFont="1" applyAlignment="1">
      <alignment horizontal="left"/>
    </xf>
    <xf numFmtId="0" fontId="0" fillId="0" borderId="12" xfId="0" applyFont="1" applyBorder="1" applyAlignment="1">
      <alignment horizontal="center"/>
    </xf>
    <xf numFmtId="14" fontId="0" fillId="0" borderId="12" xfId="0" applyNumberFormat="1" applyFont="1" applyBorder="1" applyAlignment="1">
      <alignment horizontal="center"/>
    </xf>
    <xf numFmtId="0" fontId="0" fillId="16" borderId="12" xfId="0" applyFont="1" applyFill="1" applyBorder="1" applyAlignment="1">
      <alignment horizontal="center"/>
    </xf>
    <xf numFmtId="0" fontId="0" fillId="0" borderId="0" xfId="0" applyFont="1" applyBorder="1" applyAlignment="1">
      <alignment horizontal="center"/>
    </xf>
    <xf numFmtId="0" fontId="0" fillId="0" borderId="0" xfId="0" applyFont="1" applyBorder="1" applyAlignment="1">
      <alignment horizontal="left"/>
    </xf>
    <xf numFmtId="0" fontId="0" fillId="0" borderId="12" xfId="0" applyFont="1" applyBorder="1" applyAlignment="1">
      <alignment horizontal="center"/>
    </xf>
    <xf numFmtId="0" fontId="0" fillId="0" borderId="12" xfId="0" applyFont="1" applyBorder="1" applyAlignment="1">
      <alignment horizontal="center" vertical="distributed"/>
    </xf>
    <xf numFmtId="169" fontId="0" fillId="0" borderId="12" xfId="0" applyNumberFormat="1" applyFont="1" applyBorder="1" applyAlignment="1">
      <alignment horizontal="center"/>
    </xf>
    <xf numFmtId="0" fontId="17" fillId="3" borderId="0" xfId="0" applyFont="1" applyFill="1" applyBorder="1"/>
    <xf numFmtId="0" fontId="18" fillId="9" borderId="12" xfId="0" applyFont="1" applyFill="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xf>
    <xf numFmtId="14" fontId="0" fillId="0" borderId="5" xfId="0" applyNumberFormat="1" applyFont="1" applyBorder="1" applyAlignment="1">
      <alignment horizontal="center"/>
    </xf>
    <xf numFmtId="0" fontId="10" fillId="0" borderId="12" xfId="0" applyFont="1" applyBorder="1" applyAlignment="1">
      <alignment horizontal="center"/>
    </xf>
    <xf numFmtId="0" fontId="10" fillId="0" borderId="12" xfId="0" applyFont="1" applyBorder="1" applyAlignment="1">
      <alignment horizontal="center"/>
    </xf>
    <xf numFmtId="44" fontId="0" fillId="0" borderId="12" xfId="1" applyFont="1" applyBorder="1"/>
    <xf numFmtId="10" fontId="0" fillId="0" borderId="12" xfId="19" applyNumberFormat="1" applyFont="1" applyBorder="1" applyAlignment="1">
      <alignment horizontal="center"/>
    </xf>
    <xf numFmtId="0" fontId="10" fillId="0" borderId="12" xfId="0" applyFont="1" applyFill="1" applyBorder="1" applyAlignment="1">
      <alignment horizontal="center"/>
    </xf>
    <xf numFmtId="10" fontId="0" fillId="0" borderId="12" xfId="19" applyNumberFormat="1" applyFont="1" applyFill="1" applyBorder="1" applyAlignment="1">
      <alignment horizontal="center"/>
    </xf>
    <xf numFmtId="44" fontId="0" fillId="0" borderId="12" xfId="1" applyFont="1" applyBorder="1" applyAlignment="1"/>
    <xf numFmtId="0" fontId="10" fillId="0" borderId="0" xfId="0" applyFont="1" applyBorder="1" applyAlignment="1">
      <alignment horizontal="center"/>
    </xf>
    <xf numFmtId="44" fontId="0" fillId="0" borderId="0" xfId="1" applyFont="1" applyBorder="1" applyAlignment="1"/>
    <xf numFmtId="0" fontId="0" fillId="0" borderId="0" xfId="0" applyFont="1" applyBorder="1"/>
    <xf numFmtId="10" fontId="0" fillId="0" borderId="12" xfId="0" applyNumberFormat="1" applyFont="1" applyBorder="1" applyAlignment="1">
      <alignment horizontal="center"/>
    </xf>
    <xf numFmtId="2" fontId="0" fillId="0" borderId="12" xfId="0" applyNumberFormat="1" applyFont="1" applyBorder="1"/>
    <xf numFmtId="10" fontId="0" fillId="0" borderId="0" xfId="22" applyNumberFormat="1" applyFont="1" applyBorder="1"/>
    <xf numFmtId="10" fontId="0" fillId="3" borderId="12" xfId="0" applyNumberFormat="1" applyFont="1" applyFill="1" applyBorder="1" applyAlignment="1">
      <alignment horizontal="center"/>
    </xf>
    <xf numFmtId="10" fontId="10" fillId="0" borderId="12" xfId="0" applyNumberFormat="1" applyFont="1" applyBorder="1" applyAlignment="1">
      <alignment horizontal="center"/>
    </xf>
    <xf numFmtId="2" fontId="10" fillId="0" borderId="12" xfId="0" applyNumberFormat="1" applyFont="1" applyBorder="1"/>
    <xf numFmtId="10" fontId="10" fillId="0" borderId="0" xfId="0" applyNumberFormat="1" applyFont="1" applyBorder="1" applyAlignment="1">
      <alignment horizontal="center"/>
    </xf>
    <xf numFmtId="2" fontId="10" fillId="0" borderId="0" xfId="0" applyNumberFormat="1" applyFont="1" applyBorder="1"/>
    <xf numFmtId="10" fontId="0" fillId="0" borderId="0" xfId="0" applyNumberFormat="1" applyFont="1" applyBorder="1"/>
    <xf numFmtId="10" fontId="0" fillId="0" borderId="0" xfId="0" applyNumberFormat="1" applyFont="1"/>
    <xf numFmtId="44" fontId="10" fillId="12" borderId="12" xfId="0" applyNumberFormat="1" applyFont="1" applyFill="1" applyBorder="1" applyAlignment="1">
      <alignment vertical="center" wrapText="1"/>
    </xf>
    <xf numFmtId="0" fontId="0" fillId="0" borderId="0" xfId="0" applyFont="1" applyAlignment="1">
      <alignment horizontal="center"/>
    </xf>
    <xf numFmtId="0" fontId="10" fillId="12" borderId="12" xfId="0" applyFont="1" applyFill="1" applyBorder="1" applyAlignment="1">
      <alignment horizontal="center"/>
    </xf>
    <xf numFmtId="168" fontId="0" fillId="0" borderId="0" xfId="20" applyFont="1"/>
    <xf numFmtId="44" fontId="0" fillId="0" borderId="0" xfId="0" applyNumberFormat="1" applyFont="1" applyBorder="1"/>
    <xf numFmtId="0" fontId="0" fillId="0" borderId="0" xfId="0" applyFont="1" applyBorder="1" applyAlignment="1"/>
    <xf numFmtId="43" fontId="0" fillId="0" borderId="0" xfId="0" applyNumberFormat="1" applyFont="1"/>
    <xf numFmtId="10" fontId="10" fillId="0" borderId="52" xfId="0" applyNumberFormat="1" applyFont="1" applyBorder="1" applyAlignment="1">
      <alignment horizontal="center"/>
    </xf>
    <xf numFmtId="10" fontId="10" fillId="12" borderId="12" xfId="0" applyNumberFormat="1" applyFont="1" applyFill="1" applyBorder="1" applyAlignment="1">
      <alignment horizontal="center"/>
    </xf>
    <xf numFmtId="2" fontId="0" fillId="0" borderId="12" xfId="0" applyNumberFormat="1" applyFont="1" applyBorder="1" applyAlignment="1">
      <alignment horizontal="right"/>
    </xf>
    <xf numFmtId="0" fontId="17" fillId="9" borderId="0" xfId="0" applyFont="1" applyFill="1" applyBorder="1"/>
    <xf numFmtId="0" fontId="17" fillId="0" borderId="3" xfId="0" applyFont="1" applyFill="1" applyBorder="1" applyAlignment="1">
      <alignment horizontal="left" vertical="center" wrapText="1"/>
    </xf>
    <xf numFmtId="0" fontId="10" fillId="0" borderId="12" xfId="0" applyFont="1" applyBorder="1" applyAlignment="1">
      <alignment horizontal="left"/>
    </xf>
    <xf numFmtId="0" fontId="10" fillId="0" borderId="12" xfId="0" applyFont="1" applyFill="1" applyBorder="1" applyAlignment="1">
      <alignment horizontal="left"/>
    </xf>
    <xf numFmtId="2" fontId="0" fillId="0" borderId="12" xfId="0" applyNumberFormat="1" applyFont="1" applyFill="1" applyBorder="1"/>
    <xf numFmtId="0" fontId="10" fillId="13" borderId="4" xfId="0" applyFont="1" applyFill="1" applyBorder="1" applyAlignment="1">
      <alignment vertical="top"/>
    </xf>
    <xf numFmtId="44" fontId="10" fillId="4" borderId="4" xfId="0" applyNumberFormat="1" applyFont="1" applyFill="1" applyBorder="1" applyAlignment="1">
      <alignment vertical="top"/>
    </xf>
    <xf numFmtId="0" fontId="10" fillId="3" borderId="12" xfId="0" applyFont="1" applyFill="1" applyBorder="1" applyAlignment="1">
      <alignment horizontal="center"/>
    </xf>
    <xf numFmtId="0" fontId="10" fillId="3" borderId="12" xfId="0" applyFont="1" applyFill="1" applyBorder="1" applyAlignment="1">
      <alignment horizontal="center"/>
    </xf>
    <xf numFmtId="10" fontId="0" fillId="3" borderId="12" xfId="0" applyNumberFormat="1" applyFont="1" applyFill="1" applyBorder="1" applyAlignment="1">
      <alignment horizontal="center" vertical="center"/>
    </xf>
    <xf numFmtId="10" fontId="10" fillId="3" borderId="12" xfId="0" applyNumberFormat="1" applyFont="1" applyFill="1" applyBorder="1" applyAlignment="1">
      <alignment horizontal="center" vertical="center"/>
    </xf>
    <xf numFmtId="0" fontId="10" fillId="3" borderId="2" xfId="0" applyFont="1" applyFill="1" applyBorder="1" applyAlignment="1">
      <alignment horizontal="center"/>
    </xf>
    <xf numFmtId="0" fontId="10" fillId="3" borderId="3" xfId="0" applyFont="1" applyFill="1" applyBorder="1" applyAlignment="1">
      <alignment horizontal="center"/>
    </xf>
    <xf numFmtId="10" fontId="10" fillId="3" borderId="3" xfId="0" applyNumberFormat="1" applyFont="1" applyFill="1" applyBorder="1" applyAlignment="1">
      <alignment horizontal="center"/>
    </xf>
    <xf numFmtId="2" fontId="10" fillId="3" borderId="3" xfId="0" applyNumberFormat="1" applyFont="1" applyFill="1" applyBorder="1"/>
    <xf numFmtId="4" fontId="10" fillId="3" borderId="48" xfId="0" applyNumberFormat="1" applyFont="1" applyFill="1" applyBorder="1" applyAlignment="1">
      <alignment horizontal="right" vertical="center" wrapText="1"/>
    </xf>
    <xf numFmtId="10" fontId="0" fillId="0" borderId="12" xfId="0" applyNumberFormat="1" applyFont="1" applyBorder="1" applyAlignment="1">
      <alignment horizontal="center" vertical="center"/>
    </xf>
    <xf numFmtId="2" fontId="0" fillId="0" borderId="12" xfId="0" applyNumberFormat="1" applyFont="1" applyBorder="1" applyAlignment="1">
      <alignment vertical="center"/>
    </xf>
    <xf numFmtId="0" fontId="0" fillId="3" borderId="0" xfId="0" applyFont="1" applyFill="1" applyBorder="1"/>
    <xf numFmtId="10" fontId="0" fillId="0" borderId="0" xfId="22" applyNumberFormat="1" applyFont="1"/>
    <xf numFmtId="10" fontId="10" fillId="0" borderId="12" xfId="0" applyNumberFormat="1" applyFont="1" applyBorder="1" applyAlignment="1">
      <alignment horizontal="center" vertical="center"/>
    </xf>
    <xf numFmtId="0" fontId="10" fillId="11" borderId="12" xfId="0" applyFont="1" applyFill="1" applyBorder="1" applyAlignment="1">
      <alignment horizontal="center"/>
    </xf>
    <xf numFmtId="0" fontId="10" fillId="4" borderId="12" xfId="0" applyFont="1" applyFill="1" applyBorder="1" applyAlignment="1">
      <alignment horizontal="center"/>
    </xf>
    <xf numFmtId="0" fontId="10" fillId="0" borderId="2" xfId="0" applyFont="1" applyBorder="1" applyAlignment="1">
      <alignment horizontal="center"/>
    </xf>
    <xf numFmtId="0" fontId="10" fillId="0" borderId="3" xfId="0" applyFont="1" applyBorder="1" applyAlignment="1">
      <alignment horizontal="center"/>
    </xf>
    <xf numFmtId="10" fontId="10" fillId="0" borderId="3" xfId="0" applyNumberFormat="1" applyFont="1" applyBorder="1" applyAlignment="1">
      <alignment horizontal="center"/>
    </xf>
    <xf numFmtId="2" fontId="10" fillId="0" borderId="4" xfId="0" applyNumberFormat="1" applyFont="1" applyBorder="1"/>
    <xf numFmtId="0" fontId="23" fillId="2" borderId="7" xfId="0" applyFont="1" applyFill="1" applyBorder="1" applyAlignment="1">
      <alignment vertical="center"/>
    </xf>
    <xf numFmtId="44" fontId="23" fillId="2" borderId="12" xfId="0" applyNumberFormat="1" applyFont="1" applyFill="1" applyBorder="1" applyAlignment="1">
      <alignment vertical="center"/>
    </xf>
    <xf numFmtId="10" fontId="0" fillId="0" borderId="12" xfId="0" applyNumberFormat="1" applyFont="1" applyBorder="1" applyAlignment="1"/>
    <xf numFmtId="10" fontId="24" fillId="10" borderId="65" xfId="0" applyNumberFormat="1" applyFont="1" applyFill="1" applyBorder="1" applyAlignment="1">
      <alignment horizontal="center" vertical="center"/>
    </xf>
    <xf numFmtId="10" fontId="24" fillId="0" borderId="8" xfId="0" applyNumberFormat="1" applyFont="1" applyFill="1" applyBorder="1" applyAlignment="1">
      <alignment horizontal="center" vertical="center"/>
    </xf>
    <xf numFmtId="10" fontId="24" fillId="0" borderId="9" xfId="0" applyNumberFormat="1" applyFont="1" applyFill="1" applyBorder="1" applyAlignment="1">
      <alignment vertical="center"/>
    </xf>
    <xf numFmtId="10" fontId="24" fillId="10" borderId="58" xfId="0" applyNumberFormat="1" applyFont="1" applyFill="1" applyBorder="1" applyAlignment="1">
      <alignment horizontal="center" vertical="center"/>
    </xf>
    <xf numFmtId="0" fontId="25" fillId="0" borderId="8" xfId="0" applyFont="1" applyFill="1" applyBorder="1" applyAlignment="1">
      <alignment horizontal="left" vertical="center"/>
    </xf>
    <xf numFmtId="10" fontId="24" fillId="0" borderId="58" xfId="0" applyNumberFormat="1" applyFont="1" applyFill="1" applyBorder="1" applyAlignment="1">
      <alignment horizontal="center" vertical="center"/>
    </xf>
    <xf numFmtId="2" fontId="0" fillId="0" borderId="0" xfId="0" applyNumberFormat="1" applyFont="1"/>
    <xf numFmtId="10" fontId="24" fillId="0" borderId="12" xfId="0" applyNumberFormat="1" applyFont="1" applyFill="1" applyBorder="1" applyAlignment="1">
      <alignment horizontal="center" vertical="center"/>
    </xf>
    <xf numFmtId="0" fontId="25" fillId="0" borderId="1" xfId="0" applyFont="1" applyFill="1" applyBorder="1" applyAlignment="1">
      <alignment horizontal="left" vertical="center"/>
    </xf>
    <xf numFmtId="10" fontId="24" fillId="0" borderId="11" xfId="0" applyNumberFormat="1" applyFont="1" applyFill="1" applyBorder="1" applyAlignment="1">
      <alignment vertical="center"/>
    </xf>
    <xf numFmtId="10" fontId="24" fillId="17" borderId="65" xfId="0" applyNumberFormat="1" applyFont="1" applyFill="1" applyBorder="1" applyAlignment="1">
      <alignment horizontal="center" vertical="center"/>
    </xf>
    <xf numFmtId="10" fontId="24" fillId="0" borderId="65" xfId="0" applyNumberFormat="1" applyFont="1" applyFill="1" applyBorder="1" applyAlignment="1">
      <alignment horizontal="center" vertical="center"/>
    </xf>
    <xf numFmtId="0" fontId="25" fillId="0" borderId="10" xfId="0" applyFont="1" applyFill="1" applyBorder="1" applyAlignment="1">
      <alignment horizontal="left" vertical="center"/>
    </xf>
    <xf numFmtId="10" fontId="0" fillId="0" borderId="12" xfId="19" applyNumberFormat="1" applyFont="1" applyBorder="1" applyAlignment="1"/>
    <xf numFmtId="0" fontId="24" fillId="0" borderId="0" xfId="0" applyFont="1" applyFill="1" applyBorder="1" applyAlignment="1">
      <alignment horizontal="center" vertical="center"/>
    </xf>
    <xf numFmtId="0" fontId="25" fillId="0" borderId="0" xfId="0" applyFont="1" applyFill="1" applyBorder="1" applyAlignment="1">
      <alignment horizontal="left" vertical="center"/>
    </xf>
    <xf numFmtId="10" fontId="24" fillId="0" borderId="0" xfId="0" applyNumberFormat="1" applyFont="1" applyFill="1" applyBorder="1" applyAlignment="1">
      <alignment horizontal="center" vertical="center"/>
    </xf>
    <xf numFmtId="10" fontId="24" fillId="0" borderId="0" xfId="0" applyNumberFormat="1" applyFont="1" applyFill="1" applyBorder="1" applyAlignment="1">
      <alignment vertical="center"/>
    </xf>
    <xf numFmtId="171" fontId="26" fillId="0" borderId="0" xfId="23" applyNumberFormat="1" applyFont="1" applyFill="1" applyBorder="1" applyAlignment="1">
      <alignment horizontal="center" vertical="center"/>
    </xf>
    <xf numFmtId="2" fontId="27" fillId="0" borderId="0" xfId="0" applyNumberFormat="1" applyFont="1" applyFill="1" applyBorder="1" applyAlignment="1">
      <alignment vertical="center"/>
    </xf>
    <xf numFmtId="2" fontId="10" fillId="0" borderId="0" xfId="0" applyNumberFormat="1" applyFont="1" applyFill="1" applyBorder="1"/>
    <xf numFmtId="168" fontId="10" fillId="0" borderId="0" xfId="20" applyFont="1"/>
    <xf numFmtId="0" fontId="0" fillId="0" borderId="12" xfId="0" applyFont="1" applyFill="1" applyBorder="1" applyAlignment="1">
      <alignment horizontal="center"/>
    </xf>
    <xf numFmtId="0" fontId="10" fillId="0" borderId="19" xfId="0" applyFont="1" applyBorder="1" applyAlignment="1">
      <alignment horizontal="center" wrapText="1"/>
    </xf>
    <xf numFmtId="0" fontId="10" fillId="0" borderId="20" xfId="0" applyFont="1" applyBorder="1" applyAlignment="1">
      <alignment horizontal="center" wrapText="1"/>
    </xf>
    <xf numFmtId="0" fontId="10" fillId="0" borderId="20" xfId="0" applyFont="1" applyBorder="1" applyAlignment="1">
      <alignment horizontal="center"/>
    </xf>
    <xf numFmtId="0" fontId="0" fillId="0" borderId="25" xfId="0" applyFont="1" applyBorder="1" applyAlignment="1"/>
    <xf numFmtId="0" fontId="0" fillId="0" borderId="26" xfId="0" applyFont="1" applyBorder="1" applyAlignment="1"/>
    <xf numFmtId="2" fontId="0" fillId="0" borderId="27" xfId="0" applyNumberFormat="1" applyFont="1" applyBorder="1"/>
    <xf numFmtId="0" fontId="0" fillId="0" borderId="3" xfId="0" applyFont="1" applyBorder="1" applyAlignment="1"/>
    <xf numFmtId="0" fontId="0" fillId="0" borderId="30" xfId="0" applyFont="1" applyBorder="1" applyAlignment="1"/>
    <xf numFmtId="2" fontId="0" fillId="0" borderId="31" xfId="0" applyNumberFormat="1" applyFont="1" applyFill="1" applyBorder="1"/>
    <xf numFmtId="0" fontId="10" fillId="0" borderId="3" xfId="0" applyFont="1" applyBorder="1" applyAlignment="1"/>
    <xf numFmtId="0" fontId="10" fillId="0" borderId="30" xfId="0" applyFont="1" applyBorder="1" applyAlignment="1"/>
    <xf numFmtId="0" fontId="0" fillId="0" borderId="35" xfId="0" applyFont="1" applyBorder="1" applyAlignment="1"/>
    <xf numFmtId="0" fontId="0" fillId="0" borderId="36" xfId="0" applyFont="1" applyBorder="1" applyAlignment="1"/>
    <xf numFmtId="2" fontId="0" fillId="0" borderId="37" xfId="0" applyNumberFormat="1" applyFont="1" applyFill="1" applyBorder="1"/>
    <xf numFmtId="2" fontId="10" fillId="0" borderId="41" xfId="0" applyNumberFormat="1" applyFont="1" applyFill="1" applyBorder="1"/>
    <xf numFmtId="0" fontId="0" fillId="0" borderId="42" xfId="0" applyFont="1" applyBorder="1" applyAlignment="1">
      <alignment horizontal="center"/>
    </xf>
    <xf numFmtId="0" fontId="0" fillId="0" borderId="23" xfId="0" applyFont="1" applyBorder="1" applyAlignment="1">
      <alignment horizontal="center"/>
    </xf>
    <xf numFmtId="2" fontId="0" fillId="0" borderId="24" xfId="0" applyNumberFormat="1" applyFont="1" applyBorder="1"/>
    <xf numFmtId="0" fontId="0" fillId="0" borderId="28" xfId="0" applyFont="1" applyFill="1" applyBorder="1" applyAlignment="1">
      <alignment horizontal="center"/>
    </xf>
    <xf numFmtId="2" fontId="0" fillId="0" borderId="29" xfId="0" applyNumberFormat="1" applyFont="1" applyFill="1" applyBorder="1"/>
    <xf numFmtId="0" fontId="0" fillId="0" borderId="0" xfId="0" applyFont="1" applyFill="1" applyBorder="1" applyAlignment="1">
      <alignment horizontal="center"/>
    </xf>
    <xf numFmtId="10" fontId="28" fillId="2" borderId="2" xfId="2" applyNumberFormat="1" applyFont="1" applyFill="1" applyBorder="1" applyAlignment="1" applyProtection="1">
      <alignment horizontal="center" vertical="center" wrapText="1"/>
    </xf>
    <xf numFmtId="10" fontId="28" fillId="2" borderId="12" xfId="2" applyNumberFormat="1" applyFont="1" applyFill="1" applyBorder="1" applyAlignment="1" applyProtection="1">
      <alignment horizontal="right" vertical="center" wrapText="1"/>
    </xf>
    <xf numFmtId="166" fontId="11" fillId="0" borderId="12" xfId="3" applyNumberFormat="1" applyFont="1" applyFill="1" applyBorder="1" applyAlignment="1" applyProtection="1">
      <alignment vertical="top"/>
    </xf>
    <xf numFmtId="165" fontId="11" fillId="0" borderId="12" xfId="3" applyFont="1" applyFill="1" applyBorder="1" applyAlignment="1" applyProtection="1">
      <alignment vertical="top"/>
    </xf>
    <xf numFmtId="0" fontId="11" fillId="0" borderId="12" xfId="2" applyFont="1" applyBorder="1" applyAlignment="1" applyProtection="1">
      <alignment vertical="top"/>
    </xf>
    <xf numFmtId="0" fontId="11" fillId="0" borderId="12" xfId="2" applyFont="1" applyBorder="1" applyAlignment="1">
      <alignment horizontal="center"/>
    </xf>
    <xf numFmtId="165" fontId="11" fillId="0" borderId="12" xfId="3" applyNumberFormat="1" applyFont="1" applyFill="1" applyBorder="1" applyAlignment="1" applyProtection="1">
      <alignment vertical="top"/>
    </xf>
    <xf numFmtId="165" fontId="11" fillId="0" borderId="12" xfId="2" applyNumberFormat="1" applyFont="1" applyBorder="1" applyAlignment="1">
      <alignment horizontal="center"/>
    </xf>
    <xf numFmtId="165" fontId="28" fillId="0" borderId="12" xfId="3" applyFont="1" applyFill="1" applyBorder="1" applyAlignment="1" applyProtection="1">
      <alignment vertical="center"/>
    </xf>
    <xf numFmtId="44" fontId="0" fillId="0" borderId="0" xfId="0" applyNumberFormat="1" applyFont="1"/>
    <xf numFmtId="44" fontId="10" fillId="0" borderId="52" xfId="1" applyFont="1" applyBorder="1"/>
    <xf numFmtId="44" fontId="2" fillId="0" borderId="12" xfId="1" applyBorder="1" applyAlignment="1">
      <alignment horizontal="right"/>
    </xf>
    <xf numFmtId="44" fontId="2" fillId="0" borderId="12" xfId="1" applyBorder="1" applyAlignment="1">
      <alignment vertical="center"/>
    </xf>
    <xf numFmtId="44" fontId="10" fillId="0" borderId="12" xfId="1" applyFont="1" applyBorder="1" applyAlignment="1">
      <alignment horizontal="right"/>
    </xf>
    <xf numFmtId="0" fontId="18" fillId="9" borderId="12" xfId="0" applyFont="1" applyFill="1" applyBorder="1" applyAlignment="1">
      <alignment horizontal="center" wrapText="1"/>
    </xf>
    <xf numFmtId="8" fontId="0" fillId="0" borderId="12" xfId="1" applyNumberFormat="1" applyFont="1" applyBorder="1"/>
    <xf numFmtId="0" fontId="10" fillId="0" borderId="12" xfId="0" applyFont="1" applyBorder="1" applyAlignment="1">
      <alignment horizontal="center" vertical="center"/>
    </xf>
    <xf numFmtId="9" fontId="0" fillId="0" borderId="0" xfId="22" applyFont="1"/>
    <xf numFmtId="0" fontId="0" fillId="0" borderId="0" xfId="0" applyFont="1" applyAlignment="1">
      <alignment horizontal="justify" vertical="center"/>
    </xf>
    <xf numFmtId="0" fontId="0" fillId="0" borderId="12" xfId="0" applyFont="1" applyBorder="1" applyAlignment="1">
      <alignment horizontal="center" vertical="center" wrapText="1"/>
    </xf>
    <xf numFmtId="0" fontId="0" fillId="3" borderId="0" xfId="0" applyFont="1" applyFill="1" applyAlignment="1">
      <alignment horizontal="left"/>
    </xf>
    <xf numFmtId="0" fontId="0" fillId="3" borderId="12" xfId="0" applyFont="1" applyFill="1" applyBorder="1" applyAlignment="1">
      <alignment horizontal="center"/>
    </xf>
    <xf numFmtId="0" fontId="10" fillId="3" borderId="12" xfId="0" applyFont="1" applyFill="1" applyBorder="1" applyAlignment="1">
      <alignment horizontal="center" vertical="center"/>
    </xf>
    <xf numFmtId="10" fontId="0" fillId="3" borderId="0" xfId="22" applyNumberFormat="1" applyFont="1" applyFill="1" applyBorder="1"/>
    <xf numFmtId="10" fontId="10" fillId="3" borderId="0" xfId="22" applyNumberFormat="1" applyFont="1" applyFill="1" applyBorder="1"/>
    <xf numFmtId="44" fontId="14" fillId="3" borderId="12" xfId="0" applyNumberFormat="1" applyFont="1" applyFill="1" applyBorder="1" applyAlignment="1"/>
    <xf numFmtId="0" fontId="28" fillId="0" borderId="0" xfId="2" applyFont="1" applyBorder="1" applyAlignment="1" applyProtection="1">
      <alignment vertical="center"/>
    </xf>
    <xf numFmtId="0" fontId="11" fillId="0" borderId="0" xfId="2" applyFont="1"/>
    <xf numFmtId="0" fontId="34" fillId="3" borderId="8" xfId="2" applyFont="1" applyFill="1" applyBorder="1" applyAlignment="1">
      <alignment horizontal="center"/>
    </xf>
    <xf numFmtId="0" fontId="34" fillId="3" borderId="0" xfId="2" applyFont="1" applyFill="1"/>
    <xf numFmtId="0" fontId="34" fillId="3" borderId="0" xfId="2" applyFont="1" applyFill="1" applyAlignment="1">
      <alignment horizontal="center"/>
    </xf>
    <xf numFmtId="0" fontId="28" fillId="0" borderId="0" xfId="2" applyFont="1" applyFill="1" applyAlignment="1">
      <alignment wrapText="1"/>
    </xf>
    <xf numFmtId="0" fontId="28" fillId="0" borderId="12" xfId="2" applyFont="1" applyFill="1" applyBorder="1" applyAlignment="1">
      <alignment wrapText="1"/>
    </xf>
    <xf numFmtId="0" fontId="28" fillId="0" borderId="12" xfId="2" applyFont="1" applyFill="1" applyBorder="1" applyAlignment="1">
      <alignment horizontal="center" wrapText="1"/>
    </xf>
    <xf numFmtId="0" fontId="28" fillId="0" borderId="12" xfId="2" applyFont="1" applyFill="1" applyBorder="1" applyAlignment="1">
      <alignment horizontal="center" vertical="center" wrapText="1"/>
    </xf>
    <xf numFmtId="0" fontId="35" fillId="3" borderId="0" xfId="2" applyFont="1" applyFill="1" applyAlignment="1">
      <alignment horizontal="center" wrapText="1"/>
    </xf>
    <xf numFmtId="0" fontId="35" fillId="3" borderId="0" xfId="2" applyFont="1" applyFill="1" applyAlignment="1">
      <alignment wrapText="1"/>
    </xf>
    <xf numFmtId="0" fontId="11" fillId="0" borderId="12" xfId="2" applyFont="1" applyBorder="1"/>
    <xf numFmtId="164" fontId="11" fillId="0" borderId="12" xfId="2" applyNumberFormat="1" applyFont="1" applyBorder="1" applyAlignment="1">
      <alignment horizontal="center"/>
    </xf>
    <xf numFmtId="4" fontId="11" fillId="0" borderId="12" xfId="2" applyNumberFormat="1" applyFont="1" applyBorder="1" applyAlignment="1">
      <alignment horizontal="center"/>
    </xf>
    <xf numFmtId="44" fontId="11" fillId="0" borderId="12" xfId="1" applyFont="1" applyBorder="1" applyAlignment="1">
      <alignment horizontal="center"/>
    </xf>
    <xf numFmtId="44" fontId="11" fillId="0" borderId="12" xfId="2" applyNumberFormat="1" applyFont="1" applyBorder="1" applyAlignment="1">
      <alignment horizontal="center"/>
    </xf>
    <xf numFmtId="0" fontId="35" fillId="3" borderId="0" xfId="2" applyFont="1" applyFill="1" applyBorder="1" applyAlignment="1">
      <alignment horizontal="center" wrapText="1"/>
    </xf>
    <xf numFmtId="4" fontId="28" fillId="0" borderId="12" xfId="2" applyNumberFormat="1" applyFont="1" applyBorder="1" applyAlignment="1">
      <alignment horizontal="center"/>
    </xf>
    <xf numFmtId="44" fontId="28" fillId="0" borderId="12" xfId="1" applyFont="1" applyBorder="1" applyAlignment="1">
      <alignment horizontal="center"/>
    </xf>
    <xf numFmtId="44" fontId="28" fillId="0" borderId="12" xfId="2" applyNumberFormat="1" applyFont="1" applyBorder="1" applyAlignment="1">
      <alignment horizontal="center"/>
    </xf>
    <xf numFmtId="0" fontId="11" fillId="0" borderId="12" xfId="2" applyFont="1" applyBorder="1" applyAlignment="1">
      <alignment horizontal="left" vertical="distributed"/>
    </xf>
    <xf numFmtId="44" fontId="35" fillId="3" borderId="0" xfId="2" applyNumberFormat="1" applyFont="1" applyFill="1" applyAlignment="1">
      <alignment horizontal="center"/>
    </xf>
    <xf numFmtId="0" fontId="35" fillId="3" borderId="0" xfId="2" applyFont="1" applyFill="1"/>
    <xf numFmtId="0" fontId="28" fillId="0" borderId="0" xfId="2" applyFont="1"/>
    <xf numFmtId="0" fontId="28" fillId="0" borderId="2" xfId="2" applyFont="1" applyBorder="1"/>
    <xf numFmtId="4" fontId="28" fillId="0" borderId="3" xfId="2" applyNumberFormat="1" applyFont="1" applyBorder="1" applyAlignment="1">
      <alignment horizontal="center"/>
    </xf>
    <xf numFmtId="164" fontId="28" fillId="0" borderId="1" xfId="2" applyNumberFormat="1" applyFont="1" applyBorder="1" applyAlignment="1">
      <alignment horizontal="center"/>
    </xf>
    <xf numFmtId="44" fontId="11" fillId="0" borderId="3" xfId="1" applyFont="1" applyBorder="1" applyAlignment="1">
      <alignment horizontal="center"/>
    </xf>
    <xf numFmtId="44" fontId="28" fillId="0" borderId="3" xfId="2" applyNumberFormat="1" applyFont="1" applyBorder="1" applyAlignment="1">
      <alignment horizontal="center"/>
    </xf>
    <xf numFmtId="44" fontId="28" fillId="0" borderId="0" xfId="2" applyNumberFormat="1" applyFont="1" applyAlignment="1">
      <alignment horizontal="center"/>
    </xf>
    <xf numFmtId="0" fontId="28" fillId="3" borderId="0" xfId="2" applyFont="1" applyFill="1"/>
    <xf numFmtId="0" fontId="11" fillId="0" borderId="0" xfId="2" applyFont="1" applyAlignment="1">
      <alignment horizontal="center"/>
    </xf>
    <xf numFmtId="0" fontId="11" fillId="3" borderId="0" xfId="2" applyFont="1" applyFill="1"/>
    <xf numFmtId="0" fontId="28" fillId="0" borderId="2" xfId="2" applyFont="1" applyFill="1" applyBorder="1" applyAlignment="1">
      <alignment wrapText="1"/>
    </xf>
    <xf numFmtId="0" fontId="28" fillId="0" borderId="3" xfId="2" applyFont="1" applyFill="1" applyBorder="1" applyAlignment="1">
      <alignment horizontal="center" wrapText="1"/>
    </xf>
    <xf numFmtId="0" fontId="28" fillId="0" borderId="4" xfId="2" applyFont="1" applyFill="1" applyBorder="1" applyAlignment="1">
      <alignment horizontal="center" wrapText="1"/>
    </xf>
    <xf numFmtId="0" fontId="11" fillId="0" borderId="0" xfId="2" applyFont="1" applyFill="1" applyAlignment="1">
      <alignment horizontal="center"/>
    </xf>
    <xf numFmtId="0" fontId="11" fillId="0" borderId="0" xfId="2" applyFont="1" applyFill="1"/>
    <xf numFmtId="0" fontId="11" fillId="0" borderId="10" xfId="2" applyFont="1" applyBorder="1"/>
    <xf numFmtId="164" fontId="11" fillId="0" borderId="5" xfId="2" applyNumberFormat="1" applyFont="1" applyBorder="1" applyAlignment="1">
      <alignment horizontal="center"/>
    </xf>
    <xf numFmtId="4" fontId="11" fillId="0" borderId="5" xfId="2" applyNumberFormat="1" applyFont="1" applyBorder="1" applyAlignment="1">
      <alignment horizontal="center"/>
    </xf>
    <xf numFmtId="4" fontId="11" fillId="0" borderId="7" xfId="2" applyNumberFormat="1" applyFont="1" applyBorder="1" applyAlignment="1">
      <alignment horizontal="center"/>
    </xf>
    <xf numFmtId="44" fontId="2" fillId="0" borderId="12" xfId="1" applyFont="1" applyBorder="1" applyAlignment="1">
      <alignment horizontal="center"/>
    </xf>
    <xf numFmtId="164" fontId="28" fillId="0" borderId="3" xfId="2" applyNumberFormat="1" applyFont="1" applyBorder="1" applyAlignment="1">
      <alignment horizontal="center"/>
    </xf>
    <xf numFmtId="4" fontId="28" fillId="0" borderId="4" xfId="2" applyNumberFormat="1" applyFont="1" applyBorder="1" applyAlignment="1">
      <alignment horizontal="center"/>
    </xf>
    <xf numFmtId="0" fontId="28" fillId="0" borderId="0" xfId="2" applyFont="1" applyAlignment="1">
      <alignment horizontal="center"/>
    </xf>
    <xf numFmtId="0" fontId="28" fillId="0" borderId="8" xfId="2" applyFont="1" applyBorder="1"/>
    <xf numFmtId="4" fontId="28" fillId="0" borderId="0" xfId="2" applyNumberFormat="1" applyFont="1" applyBorder="1" applyAlignment="1">
      <alignment horizontal="center"/>
    </xf>
    <xf numFmtId="164" fontId="28" fillId="0" borderId="0" xfId="2" applyNumberFormat="1" applyFont="1" applyBorder="1" applyAlignment="1">
      <alignment horizontal="center"/>
    </xf>
    <xf numFmtId="44" fontId="11" fillId="0" borderId="0" xfId="1" applyFont="1" applyBorder="1" applyAlignment="1">
      <alignment horizontal="center"/>
    </xf>
    <xf numFmtId="3" fontId="11" fillId="0" borderId="5" xfId="2" applyNumberFormat="1" applyFont="1" applyBorder="1" applyAlignment="1">
      <alignment horizontal="center"/>
    </xf>
    <xf numFmtId="0" fontId="11" fillId="0" borderId="5" xfId="2" applyNumberFormat="1" applyFont="1" applyBorder="1" applyAlignment="1">
      <alignment horizontal="center"/>
    </xf>
    <xf numFmtId="44" fontId="28" fillId="0" borderId="12" xfId="2" applyNumberFormat="1" applyFont="1" applyBorder="1"/>
    <xf numFmtId="44" fontId="28" fillId="0" borderId="0" xfId="2" applyNumberFormat="1" applyFont="1"/>
    <xf numFmtId="0" fontId="28" fillId="0" borderId="12" xfId="2" applyFont="1" applyBorder="1" applyAlignment="1">
      <alignment horizontal="center" wrapText="1"/>
    </xf>
    <xf numFmtId="170" fontId="35" fillId="3" borderId="0" xfId="2" applyNumberFormat="1" applyFont="1" applyFill="1"/>
    <xf numFmtId="44" fontId="35" fillId="3" borderId="0" xfId="2" applyNumberFormat="1" applyFont="1" applyFill="1"/>
    <xf numFmtId="43" fontId="35" fillId="3" borderId="0" xfId="23" applyFont="1" applyFill="1"/>
    <xf numFmtId="44" fontId="34" fillId="3" borderId="0" xfId="2" applyNumberFormat="1" applyFont="1" applyFill="1"/>
    <xf numFmtId="0" fontId="11" fillId="0" borderId="12" xfId="0" applyFont="1" applyBorder="1"/>
    <xf numFmtId="164" fontId="28" fillId="0" borderId="12" xfId="2" applyNumberFormat="1" applyFont="1" applyBorder="1" applyAlignment="1">
      <alignment horizontal="center"/>
    </xf>
    <xf numFmtId="44" fontId="2" fillId="0" borderId="0" xfId="1" applyFont="1"/>
    <xf numFmtId="10" fontId="28" fillId="0" borderId="2" xfId="2" applyNumberFormat="1" applyFont="1" applyFill="1" applyBorder="1" applyAlignment="1" applyProtection="1">
      <alignment horizontal="center" vertical="center" wrapText="1"/>
    </xf>
    <xf numFmtId="10" fontId="28" fillId="0" borderId="12" xfId="2" applyNumberFormat="1" applyFont="1" applyFill="1" applyBorder="1" applyAlignment="1" applyProtection="1">
      <alignment horizontal="right" vertical="center" wrapText="1"/>
    </xf>
    <xf numFmtId="2" fontId="11" fillId="0" borderId="0" xfId="2" applyNumberFormat="1" applyFont="1"/>
    <xf numFmtId="0" fontId="11" fillId="0" borderId="0" xfId="2" applyFont="1" applyBorder="1" applyAlignment="1" applyProtection="1">
      <alignment vertical="top" wrapText="1"/>
    </xf>
    <xf numFmtId="0" fontId="11" fillId="3" borderId="12" xfId="2" applyNumberFormat="1" applyFont="1" applyFill="1" applyBorder="1" applyAlignment="1">
      <alignment horizontal="center"/>
    </xf>
    <xf numFmtId="0" fontId="11" fillId="0" borderId="12" xfId="2" applyNumberFormat="1" applyFont="1" applyBorder="1" applyAlignment="1">
      <alignment horizontal="center"/>
    </xf>
    <xf numFmtId="0" fontId="11" fillId="3" borderId="5" xfId="2" applyNumberFormat="1" applyFont="1" applyFill="1" applyBorder="1" applyAlignment="1">
      <alignment horizontal="center"/>
    </xf>
    <xf numFmtId="44" fontId="11" fillId="0" borderId="12" xfId="1" applyFont="1" applyBorder="1" applyAlignment="1" applyProtection="1">
      <alignment vertical="top"/>
    </xf>
    <xf numFmtId="44" fontId="11" fillId="0" borderId="12" xfId="1" applyFont="1" applyBorder="1" applyAlignment="1" applyProtection="1">
      <alignment vertical="center"/>
    </xf>
    <xf numFmtId="44" fontId="10" fillId="0" borderId="0" xfId="1" applyFont="1" applyBorder="1"/>
    <xf numFmtId="0" fontId="15" fillId="3" borderId="0" xfId="0" applyFont="1" applyFill="1"/>
    <xf numFmtId="0" fontId="12" fillId="0" borderId="0" xfId="0" applyFont="1" applyAlignment="1">
      <alignment horizontal="left" wrapText="1"/>
    </xf>
    <xf numFmtId="0" fontId="12" fillId="0" borderId="0" xfId="0" applyFont="1" applyAlignment="1">
      <alignment horizontal="center" wrapText="1"/>
    </xf>
    <xf numFmtId="0" fontId="15" fillId="0" borderId="0" xfId="0" applyFont="1" applyAlignment="1">
      <alignment vertical="center" wrapText="1"/>
    </xf>
    <xf numFmtId="0" fontId="15" fillId="0" borderId="0" xfId="0" applyFont="1" applyAlignment="1">
      <alignment vertical="center"/>
    </xf>
    <xf numFmtId="0" fontId="15" fillId="3" borderId="0" xfId="0" applyFont="1" applyFill="1" applyAlignment="1">
      <alignment horizontal="left"/>
    </xf>
    <xf numFmtId="0" fontId="15" fillId="3" borderId="0" xfId="0" applyFont="1" applyFill="1" applyAlignment="1">
      <alignment vertical="center"/>
    </xf>
    <xf numFmtId="0" fontId="36" fillId="3" borderId="0" xfId="0" applyFont="1" applyFill="1" applyBorder="1" applyAlignment="1">
      <alignment vertical="center" wrapText="1"/>
    </xf>
    <xf numFmtId="0" fontId="15" fillId="0" borderId="12" xfId="0" applyFont="1" applyBorder="1" applyAlignment="1">
      <alignment horizontal="center" vertical="center" wrapText="1"/>
    </xf>
    <xf numFmtId="0" fontId="15" fillId="3" borderId="0" xfId="0" applyFont="1" applyFill="1" applyBorder="1" applyAlignment="1">
      <alignment horizontal="center" vertical="center" wrapText="1"/>
    </xf>
    <xf numFmtId="0" fontId="15" fillId="0" borderId="12" xfId="0" applyFont="1" applyBorder="1" applyAlignment="1">
      <alignment horizontal="justify" vertical="center" wrapText="1"/>
    </xf>
    <xf numFmtId="0" fontId="15" fillId="0" borderId="12" xfId="0" applyNumberFormat="1" applyFont="1" applyBorder="1" applyAlignment="1">
      <alignment horizontal="center" vertical="center" wrapText="1"/>
    </xf>
    <xf numFmtId="44" fontId="15" fillId="0" borderId="12" xfId="1" applyFont="1" applyBorder="1" applyAlignment="1">
      <alignment horizontal="center" vertical="center" wrapText="1"/>
    </xf>
    <xf numFmtId="44" fontId="15" fillId="3" borderId="0" xfId="0" applyNumberFormat="1" applyFont="1" applyFill="1" applyBorder="1" applyAlignment="1">
      <alignment horizontal="center" vertical="center" wrapText="1"/>
    </xf>
    <xf numFmtId="4" fontId="12" fillId="14" borderId="12" xfId="0" applyNumberFormat="1" applyFont="1" applyFill="1" applyBorder="1" applyAlignment="1">
      <alignment vertical="center" wrapText="1"/>
    </xf>
    <xf numFmtId="44" fontId="12" fillId="14" borderId="12" xfId="0" applyNumberFormat="1" applyFont="1" applyFill="1" applyBorder="1" applyAlignment="1">
      <alignment horizontal="center" vertical="center" wrapText="1"/>
    </xf>
    <xf numFmtId="44" fontId="36" fillId="0" borderId="0" xfId="0" applyNumberFormat="1" applyFont="1" applyBorder="1" applyAlignment="1">
      <alignment vertical="center"/>
    </xf>
    <xf numFmtId="0" fontId="12" fillId="0" borderId="0" xfId="0" applyFont="1" applyFill="1" applyBorder="1" applyAlignment="1">
      <alignment horizontal="left" vertical="top"/>
    </xf>
    <xf numFmtId="0" fontId="15" fillId="0" borderId="0" xfId="0" applyFont="1" applyFill="1" applyBorder="1" applyAlignment="1">
      <alignment horizontal="left" vertical="top"/>
    </xf>
    <xf numFmtId="44" fontId="15" fillId="0" borderId="0" xfId="0" applyNumberFormat="1" applyFont="1" applyFill="1" applyBorder="1" applyAlignment="1">
      <alignment horizontal="left" vertical="top"/>
    </xf>
    <xf numFmtId="10" fontId="12" fillId="0" borderId="0" xfId="0" applyNumberFormat="1" applyFont="1" applyFill="1" applyBorder="1" applyAlignment="1">
      <alignment horizontal="center" vertical="center"/>
    </xf>
    <xf numFmtId="0" fontId="37" fillId="7" borderId="0" xfId="0" applyFont="1" applyFill="1" applyAlignment="1">
      <alignment horizontal="left" vertical="distributed"/>
    </xf>
    <xf numFmtId="0" fontId="11" fillId="3" borderId="0" xfId="0" applyFont="1" applyFill="1"/>
    <xf numFmtId="0" fontId="38" fillId="6" borderId="12" xfId="0" applyFont="1" applyFill="1" applyBorder="1" applyAlignment="1">
      <alignment horizontal="center" vertical="center" wrapText="1"/>
    </xf>
    <xf numFmtId="44" fontId="25" fillId="0" borderId="12" xfId="0" applyNumberFormat="1" applyFont="1" applyBorder="1" applyAlignment="1">
      <alignment vertical="center" wrapText="1"/>
    </xf>
    <xf numFmtId="168" fontId="25" fillId="0" borderId="12" xfId="6" applyFont="1" applyBorder="1" applyAlignment="1">
      <alignment vertical="center" wrapText="1"/>
    </xf>
    <xf numFmtId="168" fontId="25" fillId="3" borderId="12" xfId="6" applyFont="1" applyFill="1" applyBorder="1" applyAlignment="1">
      <alignment horizontal="left" vertical="center" wrapText="1"/>
    </xf>
    <xf numFmtId="0" fontId="36" fillId="3" borderId="0" xfId="0" applyFont="1" applyFill="1" applyBorder="1" applyAlignment="1">
      <alignment horizontal="center" vertical="center" wrapText="1"/>
    </xf>
    <xf numFmtId="44" fontId="36" fillId="3" borderId="0" xfId="0" applyNumberFormat="1" applyFont="1" applyFill="1" applyBorder="1" applyAlignment="1">
      <alignment vertical="center" wrapText="1"/>
    </xf>
    <xf numFmtId="0" fontId="15" fillId="3" borderId="0" xfId="0" applyFont="1" applyFill="1" applyBorder="1" applyAlignment="1">
      <alignment horizontal="left"/>
    </xf>
    <xf numFmtId="0" fontId="15" fillId="3" borderId="0" xfId="0" applyFont="1" applyFill="1" applyBorder="1"/>
    <xf numFmtId="0" fontId="16" fillId="3" borderId="0" xfId="0" applyFont="1" applyFill="1"/>
    <xf numFmtId="0" fontId="15" fillId="3" borderId="6" xfId="17" applyFont="1" applyFill="1" applyBorder="1" applyAlignment="1">
      <alignment horizontal="center" vertical="center" wrapText="1"/>
    </xf>
    <xf numFmtId="168" fontId="15" fillId="3" borderId="12" xfId="6" applyFont="1" applyFill="1" applyBorder="1" applyAlignment="1">
      <alignment horizontal="center" vertical="center"/>
    </xf>
    <xf numFmtId="0" fontId="28" fillId="0" borderId="12" xfId="2" applyFont="1" applyBorder="1" applyAlignment="1">
      <alignment horizontal="center" vertical="center" wrapText="1"/>
    </xf>
    <xf numFmtId="0" fontId="0" fillId="3" borderId="12" xfId="0" applyFont="1" applyFill="1" applyBorder="1" applyAlignment="1">
      <alignment horizontal="justify" vertical="center" wrapText="1"/>
    </xf>
    <xf numFmtId="0" fontId="10" fillId="3" borderId="2" xfId="0" applyFont="1" applyFill="1" applyBorder="1" applyAlignment="1">
      <alignment horizontal="center" vertical="center" wrapText="1"/>
    </xf>
    <xf numFmtId="0" fontId="0" fillId="0" borderId="12" xfId="0" applyFont="1" applyBorder="1" applyAlignment="1">
      <alignment horizontal="center"/>
    </xf>
    <xf numFmtId="0" fontId="10" fillId="3" borderId="0" xfId="0" applyFont="1" applyFill="1" applyBorder="1" applyAlignment="1">
      <alignment vertical="center" wrapText="1"/>
    </xf>
    <xf numFmtId="0" fontId="10" fillId="3" borderId="0" xfId="0" applyFont="1" applyFill="1" applyBorder="1" applyAlignment="1">
      <alignment horizontal="center" vertical="center" wrapText="1"/>
    </xf>
    <xf numFmtId="44" fontId="13" fillId="3" borderId="0" xfId="0" applyNumberFormat="1" applyFont="1" applyFill="1" applyBorder="1" applyAlignment="1">
      <alignment horizontal="center" vertical="center"/>
    </xf>
    <xf numFmtId="0" fontId="14" fillId="3" borderId="0" xfId="0" applyFont="1" applyFill="1" applyBorder="1" applyAlignment="1">
      <alignment vertical="center" wrapText="1"/>
    </xf>
    <xf numFmtId="44" fontId="13" fillId="3" borderId="0" xfId="0" applyNumberFormat="1" applyFont="1" applyFill="1" applyBorder="1"/>
    <xf numFmtId="8" fontId="13" fillId="3" borderId="0" xfId="0" applyNumberFormat="1" applyFont="1" applyFill="1" applyBorder="1" applyAlignment="1">
      <alignment horizontal="center" vertical="center"/>
    </xf>
    <xf numFmtId="8" fontId="14" fillId="3" borderId="0" xfId="0" applyNumberFormat="1" applyFont="1" applyFill="1" applyBorder="1"/>
    <xf numFmtId="8" fontId="0" fillId="3" borderId="0" xfId="0" applyNumberFormat="1" applyFont="1" applyFill="1" applyBorder="1" applyAlignment="1">
      <alignment horizontal="center" vertical="center"/>
    </xf>
    <xf numFmtId="8" fontId="0" fillId="3" borderId="0" xfId="0" applyNumberFormat="1" applyFont="1" applyFill="1" applyBorder="1" applyAlignment="1">
      <alignment vertical="center"/>
    </xf>
    <xf numFmtId="0" fontId="0" fillId="3" borderId="2" xfId="0" applyNumberFormat="1" applyFont="1" applyFill="1" applyBorder="1" applyAlignment="1">
      <alignment horizontal="center" vertical="center" wrapText="1"/>
    </xf>
    <xf numFmtId="8" fontId="14" fillId="3" borderId="0" xfId="0" applyNumberFormat="1" applyFont="1" applyFill="1" applyBorder="1" applyAlignment="1">
      <alignment vertical="center" wrapText="1"/>
    </xf>
    <xf numFmtId="8" fontId="2" fillId="0" borderId="12" xfId="1" applyNumberFormat="1" applyBorder="1"/>
    <xf numFmtId="0" fontId="36" fillId="5" borderId="12" xfId="0" applyFont="1" applyFill="1" applyBorder="1" applyAlignment="1">
      <alignment horizontal="center" vertical="center" wrapText="1"/>
    </xf>
    <xf numFmtId="44" fontId="38" fillId="6" borderId="12" xfId="0" applyNumberFormat="1" applyFont="1" applyFill="1" applyBorder="1" applyAlignment="1">
      <alignment horizontal="center" vertical="center" wrapText="1"/>
    </xf>
    <xf numFmtId="0" fontId="37" fillId="7" borderId="0" xfId="0" applyFont="1" applyFill="1" applyAlignment="1">
      <alignment horizontal="justify" vertical="center" wrapText="1"/>
    </xf>
    <xf numFmtId="0" fontId="12" fillId="0" borderId="0" xfId="0" applyFont="1" applyAlignment="1">
      <alignment horizontal="center" wrapText="1"/>
    </xf>
    <xf numFmtId="0" fontId="12" fillId="0" borderId="0" xfId="0" applyFont="1" applyAlignment="1">
      <alignment horizontal="left" vertical="center" wrapText="1"/>
    </xf>
    <xf numFmtId="0" fontId="28" fillId="8" borderId="12" xfId="0" applyFont="1" applyFill="1" applyBorder="1" applyAlignment="1">
      <alignment horizontal="center" vertical="center"/>
    </xf>
    <xf numFmtId="0" fontId="12" fillId="0" borderId="0" xfId="0" applyFont="1" applyAlignment="1">
      <alignment horizontal="left" wrapText="1"/>
    </xf>
    <xf numFmtId="0" fontId="15" fillId="3" borderId="0" xfId="0" applyFont="1" applyFill="1" applyBorder="1" applyAlignment="1">
      <alignment horizontal="center" vertical="center"/>
    </xf>
    <xf numFmtId="0" fontId="38" fillId="6" borderId="12" xfId="0" applyFont="1" applyFill="1" applyBorder="1" applyAlignment="1">
      <alignment horizontal="center" vertical="center" wrapText="1"/>
    </xf>
    <xf numFmtId="0" fontId="12" fillId="14" borderId="12" xfId="0" applyFont="1" applyFill="1" applyBorder="1" applyAlignment="1">
      <alignment horizontal="right" vertical="center" wrapText="1"/>
    </xf>
    <xf numFmtId="0" fontId="28" fillId="2" borderId="2" xfId="2" applyFont="1" applyFill="1" applyBorder="1" applyAlignment="1" applyProtection="1">
      <alignment horizontal="center" vertical="center"/>
    </xf>
    <xf numFmtId="0" fontId="28" fillId="2" borderId="4" xfId="2" applyFont="1" applyFill="1" applyBorder="1" applyAlignment="1" applyProtection="1">
      <alignment horizontal="center" vertical="center"/>
    </xf>
    <xf numFmtId="10" fontId="28" fillId="2" borderId="2" xfId="2" applyNumberFormat="1" applyFont="1" applyFill="1" applyBorder="1" applyAlignment="1" applyProtection="1">
      <alignment horizontal="center" vertical="center" wrapText="1"/>
    </xf>
    <xf numFmtId="10" fontId="28" fillId="2" borderId="4" xfId="2" applyNumberFormat="1" applyFont="1" applyFill="1" applyBorder="1" applyAlignment="1" applyProtection="1">
      <alignment horizontal="center" vertical="center" wrapText="1"/>
    </xf>
    <xf numFmtId="167" fontId="11" fillId="0" borderId="12" xfId="3" applyNumberFormat="1" applyFont="1" applyFill="1" applyBorder="1" applyAlignment="1" applyProtection="1">
      <alignment vertical="top"/>
    </xf>
    <xf numFmtId="0" fontId="28" fillId="0" borderId="2" xfId="2" applyFont="1" applyFill="1" applyBorder="1" applyAlignment="1" applyProtection="1">
      <alignment horizontal="center" vertical="center"/>
    </xf>
    <xf numFmtId="0" fontId="28" fillId="0" borderId="4" xfId="2" applyFont="1" applyFill="1" applyBorder="1" applyAlignment="1" applyProtection="1">
      <alignment horizontal="center" vertical="center"/>
    </xf>
    <xf numFmtId="0" fontId="11" fillId="0" borderId="2" xfId="2" applyFont="1" applyBorder="1" applyAlignment="1">
      <alignment horizontal="center"/>
    </xf>
    <xf numFmtId="0" fontId="11" fillId="0" borderId="4" xfId="2" applyFont="1" applyBorder="1" applyAlignment="1">
      <alignment horizontal="center"/>
    </xf>
    <xf numFmtId="0" fontId="10" fillId="0" borderId="43" xfId="0" applyFont="1" applyBorder="1" applyAlignment="1">
      <alignment horizontal="left"/>
    </xf>
    <xf numFmtId="0" fontId="10" fillId="0" borderId="19" xfId="0" applyFont="1" applyBorder="1" applyAlignment="1">
      <alignment horizontal="left"/>
    </xf>
    <xf numFmtId="0" fontId="10" fillId="0" borderId="18" xfId="0" applyFont="1" applyBorder="1" applyAlignment="1">
      <alignment horizontal="left"/>
    </xf>
    <xf numFmtId="0" fontId="0" fillId="0" borderId="44" xfId="0" applyFont="1" applyBorder="1" applyAlignment="1">
      <alignment horizontal="left"/>
    </xf>
    <xf numFmtId="0" fontId="0" fillId="0" borderId="25" xfId="0" applyFont="1" applyBorder="1" applyAlignment="1">
      <alignment horizontal="left"/>
    </xf>
    <xf numFmtId="0" fontId="0" fillId="0" borderId="45" xfId="0" applyFont="1" applyBorder="1" applyAlignment="1">
      <alignment horizontal="left"/>
    </xf>
    <xf numFmtId="0" fontId="0" fillId="0" borderId="2" xfId="0" applyFont="1" applyBorder="1" applyAlignment="1">
      <alignment horizontal="left"/>
    </xf>
    <xf numFmtId="0" fontId="0" fillId="0" borderId="3" xfId="0" applyFont="1" applyBorder="1" applyAlignment="1">
      <alignment horizontal="left"/>
    </xf>
    <xf numFmtId="0" fontId="0" fillId="0" borderId="4" xfId="0" applyFont="1" applyBorder="1" applyAlignment="1">
      <alignment horizontal="left"/>
    </xf>
    <xf numFmtId="0" fontId="0" fillId="0" borderId="33" xfId="0" applyFont="1" applyBorder="1" applyAlignment="1">
      <alignment horizontal="left"/>
    </xf>
    <xf numFmtId="0" fontId="0" fillId="0" borderId="35" xfId="0" applyFont="1" applyBorder="1" applyAlignment="1">
      <alignment horizontal="left"/>
    </xf>
    <xf numFmtId="0" fontId="0" fillId="0" borderId="46" xfId="0" applyFont="1" applyBorder="1" applyAlignment="1">
      <alignment horizontal="left"/>
    </xf>
    <xf numFmtId="0" fontId="0" fillId="0" borderId="17" xfId="0" applyFont="1" applyBorder="1" applyAlignment="1">
      <alignment horizontal="center"/>
    </xf>
    <xf numFmtId="0" fontId="0" fillId="0" borderId="19" xfId="0" applyFont="1" applyBorder="1" applyAlignment="1">
      <alignment horizontal="center"/>
    </xf>
    <xf numFmtId="0" fontId="0" fillId="0" borderId="47" xfId="0" applyFont="1" applyBorder="1" applyAlignment="1">
      <alignment horizontal="center"/>
    </xf>
    <xf numFmtId="0" fontId="0" fillId="0" borderId="12" xfId="0" applyFont="1" applyBorder="1" applyAlignment="1">
      <alignment horizontal="left"/>
    </xf>
    <xf numFmtId="0" fontId="0" fillId="0" borderId="2" xfId="0" applyFont="1" applyFill="1" applyBorder="1" applyAlignment="1">
      <alignment horizontal="center"/>
    </xf>
    <xf numFmtId="0" fontId="0" fillId="0" borderId="3" xfId="0" applyFont="1" applyFill="1" applyBorder="1" applyAlignment="1">
      <alignment horizontal="center"/>
    </xf>
    <xf numFmtId="0" fontId="0" fillId="0" borderId="4" xfId="0" applyFont="1" applyFill="1" applyBorder="1" applyAlignment="1">
      <alignment horizontal="center"/>
    </xf>
    <xf numFmtId="0" fontId="11" fillId="0" borderId="2" xfId="2" applyFont="1" applyBorder="1" applyAlignment="1" applyProtection="1">
      <alignment horizontal="center" vertical="top"/>
    </xf>
    <xf numFmtId="0" fontId="11" fillId="0" borderId="4" xfId="2" applyFont="1" applyBorder="1" applyAlignment="1" applyProtection="1">
      <alignment horizontal="center" vertical="top"/>
    </xf>
    <xf numFmtId="0" fontId="10" fillId="0" borderId="38" xfId="0" applyFont="1" applyBorder="1" applyAlignment="1">
      <alignment horizontal="center"/>
    </xf>
    <xf numFmtId="0" fontId="10" fillId="0" borderId="39" xfId="0" applyFont="1" applyBorder="1" applyAlignment="1">
      <alignment horizontal="center"/>
    </xf>
    <xf numFmtId="0" fontId="10" fillId="0" borderId="40" xfId="0" applyFont="1" applyBorder="1" applyAlignment="1">
      <alignment horizontal="center"/>
    </xf>
    <xf numFmtId="0" fontId="0" fillId="0" borderId="0" xfId="0" applyFont="1" applyBorder="1" applyAlignment="1">
      <alignment horizontal="center"/>
    </xf>
    <xf numFmtId="0" fontId="10" fillId="0" borderId="17" xfId="0" applyFont="1" applyFill="1" applyBorder="1" applyAlignment="1">
      <alignment horizontal="center" wrapText="1"/>
    </xf>
    <xf numFmtId="0" fontId="10" fillId="0" borderId="18" xfId="0" applyFont="1" applyFill="1" applyBorder="1" applyAlignment="1">
      <alignment horizontal="center" wrapText="1"/>
    </xf>
    <xf numFmtId="0" fontId="0" fillId="0" borderId="13" xfId="0" applyFont="1" applyBorder="1" applyAlignment="1">
      <alignment horizontal="center"/>
    </xf>
    <xf numFmtId="0" fontId="0" fillId="0" borderId="10" xfId="0" applyFont="1" applyBorder="1" applyAlignment="1">
      <alignment horizontal="center"/>
    </xf>
    <xf numFmtId="0" fontId="0" fillId="0" borderId="21" xfId="0" applyFont="1" applyBorder="1" applyAlignment="1">
      <alignment horizontal="left"/>
    </xf>
    <xf numFmtId="0" fontId="0" fillId="0" borderId="22" xfId="0" applyFont="1" applyBorder="1" applyAlignment="1">
      <alignment horizontal="left"/>
    </xf>
    <xf numFmtId="0" fontId="0" fillId="0" borderId="23" xfId="0" applyFont="1" applyBorder="1" applyAlignment="1">
      <alignment horizontal="center"/>
    </xf>
    <xf numFmtId="0" fontId="0" fillId="0" borderId="24" xfId="0" applyFont="1" applyBorder="1" applyAlignment="1">
      <alignment horizontal="center"/>
    </xf>
    <xf numFmtId="0" fontId="10" fillId="0" borderId="12" xfId="0" applyFont="1" applyBorder="1" applyAlignment="1">
      <alignment horizontal="center"/>
    </xf>
    <xf numFmtId="0" fontId="0" fillId="0" borderId="12" xfId="0" applyFont="1" applyBorder="1" applyAlignment="1">
      <alignment horizontal="center"/>
    </xf>
    <xf numFmtId="0" fontId="0" fillId="0" borderId="2" xfId="0" applyFont="1" applyBorder="1" applyAlignment="1">
      <alignment horizontal="center"/>
    </xf>
    <xf numFmtId="0" fontId="0" fillId="0" borderId="23" xfId="0" applyFont="1" applyBorder="1" applyAlignment="1">
      <alignment horizontal="left"/>
    </xf>
    <xf numFmtId="0" fontId="0" fillId="0" borderId="24" xfId="0" applyFont="1" applyBorder="1" applyAlignment="1">
      <alignment horizontal="left"/>
    </xf>
    <xf numFmtId="0" fontId="0" fillId="0" borderId="28" xfId="0" applyFont="1" applyBorder="1" applyAlignment="1">
      <alignment horizontal="center"/>
    </xf>
    <xf numFmtId="0" fontId="0" fillId="0" borderId="29" xfId="0" applyFont="1" applyBorder="1" applyAlignment="1">
      <alignment horizontal="center"/>
    </xf>
    <xf numFmtId="0" fontId="10" fillId="0" borderId="32" xfId="0" applyFont="1" applyBorder="1" applyAlignment="1">
      <alignment horizontal="center"/>
    </xf>
    <xf numFmtId="0" fontId="10" fillId="0" borderId="33" xfId="0" applyFont="1" applyBorder="1" applyAlignment="1">
      <alignment horizontal="center"/>
    </xf>
    <xf numFmtId="0" fontId="0" fillId="0" borderId="32" xfId="0" applyFont="1" applyBorder="1" applyAlignment="1">
      <alignment horizontal="center"/>
    </xf>
    <xf numFmtId="0" fontId="0" fillId="0" borderId="34" xfId="0" applyFont="1" applyBorder="1" applyAlignment="1">
      <alignment horizontal="center"/>
    </xf>
    <xf numFmtId="0" fontId="0" fillId="0" borderId="12" xfId="0" applyFont="1" applyBorder="1"/>
    <xf numFmtId="0" fontId="10" fillId="13" borderId="2" xfId="0" applyFont="1" applyFill="1" applyBorder="1" applyAlignment="1">
      <alignment horizontal="center"/>
    </xf>
    <xf numFmtId="0" fontId="10" fillId="13" borderId="3" xfId="0" applyFont="1" applyFill="1" applyBorder="1" applyAlignment="1">
      <alignment horizontal="center"/>
    </xf>
    <xf numFmtId="0" fontId="10" fillId="13" borderId="4" xfId="0" applyFont="1" applyFill="1" applyBorder="1" applyAlignment="1">
      <alignment horizontal="center"/>
    </xf>
    <xf numFmtId="0" fontId="10" fillId="2" borderId="2" xfId="0" applyFont="1" applyFill="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25" fillId="0" borderId="6" xfId="0" applyFont="1" applyFill="1" applyBorder="1" applyAlignment="1">
      <alignment horizontal="left" vertical="center"/>
    </xf>
    <xf numFmtId="0" fontId="25" fillId="0" borderId="5" xfId="0" applyFont="1" applyFill="1" applyBorder="1" applyAlignment="1">
      <alignment horizontal="left" vertical="center"/>
    </xf>
    <xf numFmtId="0" fontId="25" fillId="0" borderId="7" xfId="0" applyFont="1" applyFill="1" applyBorder="1" applyAlignment="1">
      <alignment horizontal="left" vertical="center"/>
    </xf>
    <xf numFmtId="0" fontId="25" fillId="0" borderId="63" xfId="0" applyFont="1" applyFill="1" applyBorder="1" applyAlignment="1">
      <alignment horizontal="left" vertical="center"/>
    </xf>
    <xf numFmtId="0" fontId="25" fillId="0" borderId="64" xfId="0" applyFont="1" applyFill="1" applyBorder="1" applyAlignment="1">
      <alignment horizontal="left" vertical="center"/>
    </xf>
    <xf numFmtId="0" fontId="23" fillId="2" borderId="14"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7" xfId="0" applyFont="1" applyFill="1" applyBorder="1" applyAlignment="1">
      <alignment horizontal="center" vertical="center"/>
    </xf>
    <xf numFmtId="0" fontId="10" fillId="4" borderId="14" xfId="0" applyFont="1" applyFill="1" applyBorder="1" applyAlignment="1">
      <alignment horizontal="center"/>
    </xf>
    <xf numFmtId="0" fontId="10" fillId="4" borderId="5" xfId="0" applyFont="1" applyFill="1" applyBorder="1" applyAlignment="1">
      <alignment horizontal="center"/>
    </xf>
    <xf numFmtId="0" fontId="10" fillId="13" borderId="12" xfId="0" applyFont="1" applyFill="1" applyBorder="1" applyAlignment="1">
      <alignment horizontal="center"/>
    </xf>
    <xf numFmtId="0" fontId="0" fillId="0" borderId="2" xfId="0" applyFont="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10" fillId="4" borderId="16" xfId="0" applyFont="1" applyFill="1" applyBorder="1" applyAlignment="1">
      <alignment horizontal="center"/>
    </xf>
    <xf numFmtId="0" fontId="10" fillId="4" borderId="1" xfId="0" applyFont="1" applyFill="1" applyBorder="1" applyAlignment="1">
      <alignment horizontal="center"/>
    </xf>
    <xf numFmtId="0" fontId="10" fillId="11" borderId="12" xfId="0" applyFont="1" applyFill="1" applyBorder="1" applyAlignment="1">
      <alignment horizontal="center"/>
    </xf>
    <xf numFmtId="0" fontId="0" fillId="3" borderId="2" xfId="0" applyFont="1" applyFill="1" applyBorder="1" applyAlignment="1">
      <alignment horizontal="left" vertical="distributed" wrapText="1"/>
    </xf>
    <xf numFmtId="0" fontId="0" fillId="3" borderId="3" xfId="0" applyFont="1" applyFill="1" applyBorder="1" applyAlignment="1">
      <alignment horizontal="left" vertical="distributed" wrapText="1"/>
    </xf>
    <xf numFmtId="0" fontId="0" fillId="3" borderId="4" xfId="0" applyFont="1" applyFill="1" applyBorder="1" applyAlignment="1">
      <alignment horizontal="left" vertical="distributed" wrapText="1"/>
    </xf>
    <xf numFmtId="0" fontId="0" fillId="3" borderId="12" xfId="0" applyFont="1" applyFill="1" applyBorder="1" applyAlignment="1">
      <alignment horizontal="left" wrapText="1"/>
    </xf>
    <xf numFmtId="0" fontId="10" fillId="4" borderId="15" xfId="0" applyFont="1" applyFill="1" applyBorder="1" applyAlignment="1">
      <alignment horizontal="center"/>
    </xf>
    <xf numFmtId="0" fontId="10" fillId="4" borderId="3" xfId="0" applyFont="1" applyFill="1" applyBorder="1" applyAlignment="1">
      <alignment horizontal="center"/>
    </xf>
    <xf numFmtId="0" fontId="10" fillId="11" borderId="2" xfId="0" applyFont="1" applyFill="1" applyBorder="1" applyAlignment="1">
      <alignment horizontal="center" vertical="top" wrapText="1"/>
    </xf>
    <xf numFmtId="0" fontId="10" fillId="11" borderId="3" xfId="0" applyFont="1" applyFill="1" applyBorder="1" applyAlignment="1">
      <alignment horizontal="center" vertical="top"/>
    </xf>
    <xf numFmtId="0" fontId="10" fillId="11" borderId="4" xfId="0" applyFont="1" applyFill="1" applyBorder="1" applyAlignment="1">
      <alignment horizontal="center" vertical="top"/>
    </xf>
    <xf numFmtId="0" fontId="0" fillId="3" borderId="2" xfId="0" applyFont="1" applyFill="1" applyBorder="1" applyAlignment="1">
      <alignment horizontal="left" wrapText="1"/>
    </xf>
    <xf numFmtId="0" fontId="0" fillId="3" borderId="3" xfId="0" applyFont="1" applyFill="1" applyBorder="1" applyAlignment="1">
      <alignment horizontal="left" wrapText="1"/>
    </xf>
    <xf numFmtId="0" fontId="0" fillId="3" borderId="4" xfId="0" applyFont="1" applyFill="1" applyBorder="1" applyAlignment="1">
      <alignment horizontal="left" wrapText="1"/>
    </xf>
    <xf numFmtId="0" fontId="10" fillId="3" borderId="55"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56" xfId="0" applyFont="1" applyFill="1" applyBorder="1" applyAlignment="1">
      <alignment horizontal="center" vertical="center" wrapText="1"/>
    </xf>
    <xf numFmtId="0" fontId="17" fillId="3" borderId="2" xfId="0" applyFont="1" applyFill="1" applyBorder="1" applyAlignment="1">
      <alignment horizontal="justify" vertical="center" wrapText="1"/>
    </xf>
    <xf numFmtId="0" fontId="17" fillId="3" borderId="3" xfId="0" applyFont="1" applyFill="1" applyBorder="1" applyAlignment="1">
      <alignment horizontal="justify" vertical="center"/>
    </xf>
    <xf numFmtId="0" fontId="17" fillId="3" borderId="4" xfId="0" applyFont="1" applyFill="1" applyBorder="1" applyAlignment="1">
      <alignment horizontal="justify" vertical="center"/>
    </xf>
    <xf numFmtId="0" fontId="0" fillId="3" borderId="12" xfId="0" applyFont="1" applyFill="1" applyBorder="1" applyAlignment="1">
      <alignment horizontal="justify" vertical="center" wrapText="1"/>
    </xf>
    <xf numFmtId="0" fontId="0" fillId="3" borderId="2" xfId="0" applyFont="1" applyFill="1" applyBorder="1" applyAlignment="1">
      <alignment horizontal="justify" vertical="center" wrapText="1"/>
    </xf>
    <xf numFmtId="0" fontId="0" fillId="3" borderId="3" xfId="0" applyFont="1" applyFill="1" applyBorder="1" applyAlignment="1">
      <alignment horizontal="justify" vertical="center" wrapText="1"/>
    </xf>
    <xf numFmtId="0" fontId="0" fillId="3" borderId="4" xfId="0" applyFont="1" applyFill="1" applyBorder="1" applyAlignment="1">
      <alignment horizontal="justify" vertical="center" wrapText="1"/>
    </xf>
    <xf numFmtId="0" fontId="10" fillId="3" borderId="12" xfId="0" applyFont="1" applyFill="1" applyBorder="1" applyAlignment="1">
      <alignment horizontal="center"/>
    </xf>
    <xf numFmtId="0" fontId="10" fillId="13" borderId="2" xfId="0" applyFont="1" applyFill="1" applyBorder="1" applyAlignment="1">
      <alignment horizontal="center" vertical="top"/>
    </xf>
    <xf numFmtId="0" fontId="10" fillId="13" borderId="3" xfId="0" applyFont="1" applyFill="1" applyBorder="1" applyAlignment="1">
      <alignment horizontal="center" vertical="top"/>
    </xf>
    <xf numFmtId="0" fontId="10" fillId="4" borderId="2" xfId="0" applyFont="1" applyFill="1" applyBorder="1" applyAlignment="1">
      <alignment horizontal="center" vertical="top"/>
    </xf>
    <xf numFmtId="0" fontId="10" fillId="4" borderId="3" xfId="0" applyFont="1" applyFill="1" applyBorder="1" applyAlignment="1">
      <alignment horizontal="center" vertical="top"/>
    </xf>
    <xf numFmtId="0" fontId="10" fillId="4" borderId="4" xfId="0" applyFont="1" applyFill="1" applyBorder="1" applyAlignment="1">
      <alignment horizontal="center" vertical="top"/>
    </xf>
    <xf numFmtId="0" fontId="17" fillId="0" borderId="55"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56" xfId="0" applyFont="1" applyFill="1" applyBorder="1" applyAlignment="1">
      <alignment horizontal="left" vertical="center" wrapText="1"/>
    </xf>
    <xf numFmtId="0" fontId="10" fillId="12" borderId="12" xfId="0" applyFont="1" applyFill="1" applyBorder="1" applyAlignment="1">
      <alignment horizontal="center"/>
    </xf>
    <xf numFmtId="0" fontId="10" fillId="0" borderId="12" xfId="0" applyFont="1" applyBorder="1" applyAlignment="1">
      <alignment horizontal="left"/>
    </xf>
    <xf numFmtId="0" fontId="10" fillId="4" borderId="13" xfId="0" applyFont="1" applyFill="1" applyBorder="1" applyAlignment="1">
      <alignment horizontal="center"/>
    </xf>
    <xf numFmtId="0" fontId="10" fillId="4" borderId="10" xfId="0" applyFont="1" applyFill="1" applyBorder="1" applyAlignment="1">
      <alignment horizontal="center"/>
    </xf>
    <xf numFmtId="0" fontId="0" fillId="3" borderId="3" xfId="0" applyFont="1" applyFill="1" applyBorder="1" applyAlignment="1">
      <alignment horizontal="justify" vertical="center"/>
    </xf>
    <xf numFmtId="0" fontId="0" fillId="3" borderId="4" xfId="0" applyFont="1" applyFill="1" applyBorder="1" applyAlignment="1">
      <alignment horizontal="justify" vertical="center"/>
    </xf>
    <xf numFmtId="0" fontId="10" fillId="0" borderId="52" xfId="0" applyFont="1" applyBorder="1" applyAlignment="1">
      <alignment horizontal="center"/>
    </xf>
    <xf numFmtId="0" fontId="10" fillId="12" borderId="53" xfId="0" applyFont="1" applyFill="1" applyBorder="1" applyAlignment="1">
      <alignment horizontal="center" vertical="center" wrapText="1"/>
    </xf>
    <xf numFmtId="0" fontId="10" fillId="12" borderId="54" xfId="0" applyFont="1" applyFill="1" applyBorder="1" applyAlignment="1">
      <alignment horizontal="center" vertical="center" wrapText="1"/>
    </xf>
    <xf numFmtId="0" fontId="10" fillId="0" borderId="2" xfId="0" applyFont="1" applyBorder="1" applyAlignment="1">
      <alignment horizontal="center"/>
    </xf>
    <xf numFmtId="0" fontId="10" fillId="0" borderId="3" xfId="0" applyFont="1" applyBorder="1" applyAlignment="1">
      <alignment horizontal="center"/>
    </xf>
    <xf numFmtId="0" fontId="10" fillId="0" borderId="4" xfId="0" applyFont="1" applyBorder="1" applyAlignment="1">
      <alignment horizontal="center"/>
    </xf>
    <xf numFmtId="0" fontId="0" fillId="3" borderId="2" xfId="0" applyFont="1" applyFill="1" applyBorder="1" applyAlignment="1">
      <alignment horizontal="left" vertical="distributed"/>
    </xf>
    <xf numFmtId="0" fontId="0" fillId="3" borderId="3" xfId="0" applyFont="1" applyFill="1" applyBorder="1" applyAlignment="1">
      <alignment horizontal="left" vertical="distributed"/>
    </xf>
    <xf numFmtId="0" fontId="0" fillId="3" borderId="4" xfId="0" applyFont="1" applyFill="1" applyBorder="1" applyAlignment="1">
      <alignment horizontal="left" vertical="distributed"/>
    </xf>
    <xf numFmtId="0" fontId="19" fillId="0" borderId="5" xfId="0" applyFont="1" applyBorder="1" applyAlignment="1">
      <alignment horizontal="left"/>
    </xf>
    <xf numFmtId="0" fontId="0" fillId="0" borderId="2" xfId="0" applyFont="1" applyBorder="1" applyAlignment="1">
      <alignment horizontal="left" wrapText="1"/>
    </xf>
    <xf numFmtId="0" fontId="0" fillId="0" borderId="3" xfId="0" applyFont="1" applyBorder="1" applyAlignment="1">
      <alignment horizontal="left" wrapText="1"/>
    </xf>
    <xf numFmtId="0" fontId="0" fillId="0" borderId="4" xfId="0" applyFont="1" applyBorder="1" applyAlignment="1">
      <alignment horizontal="left" wrapText="1"/>
    </xf>
    <xf numFmtId="0" fontId="17"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0" fontId="10" fillId="0" borderId="0" xfId="0" applyFont="1" applyAlignment="1">
      <alignment horizontal="center"/>
    </xf>
    <xf numFmtId="0" fontId="0" fillId="3" borderId="1" xfId="0" applyFont="1" applyFill="1" applyBorder="1" applyAlignment="1">
      <alignment horizontal="left"/>
    </xf>
    <xf numFmtId="0" fontId="10" fillId="2" borderId="12" xfId="0" applyFont="1" applyFill="1" applyBorder="1" applyAlignment="1">
      <alignment horizontal="center"/>
    </xf>
    <xf numFmtId="0" fontId="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0" fillId="0" borderId="51" xfId="0" applyFont="1" applyFill="1" applyBorder="1" applyAlignment="1">
      <alignment horizontal="left" vertical="center" wrapText="1"/>
    </xf>
    <xf numFmtId="0" fontId="19" fillId="3" borderId="2" xfId="0" applyFont="1" applyFill="1" applyBorder="1" applyAlignment="1">
      <alignment horizontal="justify" vertical="center" wrapText="1"/>
    </xf>
    <xf numFmtId="0" fontId="19" fillId="3" borderId="3" xfId="0" applyFont="1" applyFill="1" applyBorder="1" applyAlignment="1">
      <alignment horizontal="justify" vertical="center"/>
    </xf>
    <xf numFmtId="0" fontId="19" fillId="3" borderId="4" xfId="0" applyFont="1" applyFill="1" applyBorder="1" applyAlignment="1">
      <alignment horizontal="justify" vertical="center"/>
    </xf>
    <xf numFmtId="0" fontId="10" fillId="0" borderId="17" xfId="0" applyFont="1" applyBorder="1" applyAlignment="1">
      <alignment horizontal="center"/>
    </xf>
    <xf numFmtId="0" fontId="10" fillId="0" borderId="19" xfId="0" applyFont="1" applyBorder="1" applyAlignment="1">
      <alignment horizontal="center"/>
    </xf>
    <xf numFmtId="0" fontId="10" fillId="0" borderId="18" xfId="0" applyFont="1" applyBorder="1" applyAlignment="1">
      <alignment horizontal="center"/>
    </xf>
    <xf numFmtId="0" fontId="23" fillId="2" borderId="12" xfId="0" applyFont="1" applyFill="1" applyBorder="1" applyAlignment="1">
      <alignment horizontal="center" vertical="center"/>
    </xf>
    <xf numFmtId="0" fontId="24" fillId="0" borderId="57" xfId="0" applyFont="1" applyFill="1" applyBorder="1" applyAlignment="1">
      <alignment horizontal="center" vertical="center"/>
    </xf>
    <xf numFmtId="0" fontId="24" fillId="0" borderId="65" xfId="0" applyFont="1" applyFill="1" applyBorder="1" applyAlignment="1">
      <alignment horizontal="center" vertical="center"/>
    </xf>
    <xf numFmtId="10" fontId="24" fillId="0" borderId="57" xfId="22" applyNumberFormat="1" applyFont="1" applyFill="1" applyBorder="1" applyAlignment="1">
      <alignment horizontal="center" vertical="center"/>
    </xf>
    <xf numFmtId="10" fontId="24" fillId="0" borderId="66" xfId="22" applyNumberFormat="1" applyFont="1" applyFill="1" applyBorder="1" applyAlignment="1">
      <alignment horizontal="center" vertical="center"/>
    </xf>
    <xf numFmtId="0" fontId="24" fillId="0" borderId="59" xfId="0" applyFont="1" applyFill="1" applyBorder="1" applyAlignment="1">
      <alignment vertical="center"/>
    </xf>
    <xf numFmtId="0" fontId="25" fillId="0" borderId="59" xfId="0" applyFont="1" applyFill="1" applyBorder="1" applyAlignment="1">
      <alignment vertical="center"/>
    </xf>
    <xf numFmtId="0" fontId="25" fillId="0" borderId="10" xfId="0" applyFont="1" applyFill="1" applyBorder="1" applyAlignment="1">
      <alignment horizontal="left" vertical="center"/>
    </xf>
    <xf numFmtId="0" fontId="25" fillId="0" borderId="1" xfId="0" applyFont="1" applyFill="1" applyBorder="1" applyAlignment="1">
      <alignment horizontal="left" vertical="center"/>
    </xf>
    <xf numFmtId="0" fontId="25" fillId="0" borderId="59" xfId="0" applyFont="1" applyFill="1" applyBorder="1" applyAlignment="1">
      <alignment horizontal="left" vertical="center"/>
    </xf>
    <xf numFmtId="0" fontId="25" fillId="0" borderId="62" xfId="0" applyFont="1" applyFill="1" applyBorder="1" applyAlignment="1">
      <alignment horizontal="left" vertical="center"/>
    </xf>
    <xf numFmtId="44" fontId="2" fillId="0" borderId="67" xfId="1" applyBorder="1" applyAlignment="1">
      <alignment horizontal="right" vertical="center"/>
    </xf>
    <xf numFmtId="44" fontId="2" fillId="0" borderId="68" xfId="1" applyBorder="1" applyAlignment="1">
      <alignment horizontal="right" vertical="center"/>
    </xf>
    <xf numFmtId="44" fontId="2" fillId="0" borderId="69" xfId="1" applyBorder="1" applyAlignment="1">
      <alignment horizontal="right" vertical="center"/>
    </xf>
    <xf numFmtId="0" fontId="24" fillId="0" borderId="63" xfId="0" applyFont="1" applyFill="1" applyBorder="1" applyAlignment="1">
      <alignment horizontal="left" vertical="center"/>
    </xf>
    <xf numFmtId="0" fontId="24" fillId="0" borderId="5" xfId="0" applyFont="1" applyFill="1" applyBorder="1" applyAlignment="1">
      <alignment horizontal="left" vertical="center"/>
    </xf>
    <xf numFmtId="0" fontId="24" fillId="0" borderId="64" xfId="0" applyFont="1" applyFill="1" applyBorder="1" applyAlignment="1">
      <alignment horizontal="left" vertical="center"/>
    </xf>
    <xf numFmtId="0" fontId="25" fillId="0" borderId="60" xfId="0" applyFont="1" applyFill="1" applyBorder="1" applyAlignment="1">
      <alignment horizontal="left" vertical="center"/>
    </xf>
    <xf numFmtId="0" fontId="25" fillId="0" borderId="0" xfId="0" applyFont="1" applyFill="1" applyBorder="1" applyAlignment="1">
      <alignment horizontal="left" vertical="center"/>
    </xf>
    <xf numFmtId="0" fontId="25" fillId="0" borderId="61" xfId="0" applyFont="1" applyFill="1" applyBorder="1" applyAlignment="1">
      <alignment horizontal="left" vertical="center"/>
    </xf>
    <xf numFmtId="0" fontId="10" fillId="0" borderId="28" xfId="0" applyFont="1" applyBorder="1" applyAlignment="1">
      <alignment horizontal="center"/>
    </xf>
    <xf numFmtId="0" fontId="10" fillId="3" borderId="2" xfId="0" applyFont="1" applyFill="1" applyBorder="1" applyAlignment="1">
      <alignment horizontal="center"/>
    </xf>
    <xf numFmtId="0" fontId="10" fillId="3" borderId="3" xfId="0" applyFont="1" applyFill="1" applyBorder="1" applyAlignment="1">
      <alignment horizontal="center"/>
    </xf>
    <xf numFmtId="0" fontId="10" fillId="3" borderId="4" xfId="0" applyFont="1" applyFill="1" applyBorder="1" applyAlignment="1">
      <alignment horizontal="center"/>
    </xf>
    <xf numFmtId="0" fontId="0" fillId="0" borderId="12" xfId="0" applyFont="1" applyBorder="1" applyAlignment="1">
      <alignment horizontal="left" vertical="center"/>
    </xf>
    <xf numFmtId="0" fontId="19" fillId="3" borderId="2" xfId="0" applyFont="1" applyFill="1" applyBorder="1" applyAlignment="1">
      <alignment horizontal="left" wrapText="1"/>
    </xf>
    <xf numFmtId="0" fontId="19" fillId="3" borderId="3" xfId="0" applyFont="1" applyFill="1" applyBorder="1" applyAlignment="1">
      <alignment horizontal="left"/>
    </xf>
    <xf numFmtId="0" fontId="19" fillId="3" borderId="4" xfId="0" applyFont="1" applyFill="1" applyBorder="1" applyAlignment="1">
      <alignment horizontal="left"/>
    </xf>
    <xf numFmtId="0" fontId="17" fillId="3" borderId="2" xfId="0" applyFont="1" applyFill="1" applyBorder="1" applyAlignment="1">
      <alignment horizontal="left" wrapText="1"/>
    </xf>
    <xf numFmtId="0" fontId="17" fillId="3" borderId="3" xfId="0" applyFont="1" applyFill="1" applyBorder="1" applyAlignment="1">
      <alignment horizontal="left"/>
    </xf>
    <xf numFmtId="0" fontId="17" fillId="3" borderId="4" xfId="0" applyFont="1" applyFill="1" applyBorder="1" applyAlignment="1">
      <alignment horizontal="left"/>
    </xf>
    <xf numFmtId="0" fontId="0" fillId="0" borderId="2" xfId="0" applyFont="1" applyBorder="1" applyAlignment="1">
      <alignment horizontal="left" vertical="justify"/>
    </xf>
    <xf numFmtId="0" fontId="0" fillId="0" borderId="3" xfId="0" applyFont="1" applyBorder="1" applyAlignment="1">
      <alignment horizontal="left" vertical="justify"/>
    </xf>
    <xf numFmtId="0" fontId="0" fillId="0" borderId="4" xfId="0" applyFont="1" applyBorder="1" applyAlignment="1">
      <alignment horizontal="left" vertical="justify"/>
    </xf>
    <xf numFmtId="0" fontId="0" fillId="0" borderId="12" xfId="0" applyFont="1" applyBorder="1" applyAlignment="1">
      <alignment horizontal="justify" vertical="center"/>
    </xf>
    <xf numFmtId="0" fontId="17" fillId="0" borderId="49" xfId="0" applyFont="1" applyFill="1" applyBorder="1" applyAlignment="1">
      <alignment horizontal="left" vertical="center" wrapText="1"/>
    </xf>
    <xf numFmtId="0" fontId="17" fillId="0" borderId="50" xfId="0" applyFont="1" applyFill="1" applyBorder="1" applyAlignment="1">
      <alignment horizontal="left" vertical="center" wrapText="1"/>
    </xf>
    <xf numFmtId="0" fontId="17" fillId="0" borderId="51" xfId="0" applyFont="1" applyFill="1" applyBorder="1" applyAlignment="1">
      <alignment horizontal="left" vertical="center" wrapText="1"/>
    </xf>
    <xf numFmtId="0" fontId="28" fillId="0" borderId="0" xfId="2" applyFont="1" applyBorder="1" applyAlignment="1" applyProtection="1">
      <alignment horizontal="center" vertical="top" wrapText="1"/>
    </xf>
    <xf numFmtId="0" fontId="11" fillId="0" borderId="12" xfId="2" applyFont="1" applyBorder="1"/>
    <xf numFmtId="3" fontId="28" fillId="0" borderId="12" xfId="2" applyNumberFormat="1" applyFont="1" applyBorder="1" applyAlignment="1">
      <alignment horizontal="center"/>
    </xf>
    <xf numFmtId="0" fontId="28" fillId="0" borderId="12" xfId="2" applyFont="1" applyBorder="1" applyAlignment="1">
      <alignment horizontal="center" vertical="center"/>
    </xf>
    <xf numFmtId="0" fontId="28" fillId="0" borderId="12" xfId="2" applyFont="1" applyBorder="1" applyAlignment="1">
      <alignment horizontal="center"/>
    </xf>
    <xf numFmtId="10" fontId="28" fillId="0" borderId="2" xfId="2" applyNumberFormat="1" applyFont="1" applyFill="1" applyBorder="1" applyAlignment="1" applyProtection="1">
      <alignment horizontal="center" vertical="center" wrapText="1"/>
    </xf>
    <xf numFmtId="10" fontId="28" fillId="0" borderId="4" xfId="2" applyNumberFormat="1" applyFont="1" applyFill="1" applyBorder="1" applyAlignment="1" applyProtection="1">
      <alignment horizontal="center" vertical="center" wrapText="1"/>
    </xf>
    <xf numFmtId="167" fontId="11" fillId="0" borderId="2" xfId="3" applyNumberFormat="1" applyFont="1" applyFill="1" applyBorder="1" applyAlignment="1" applyProtection="1">
      <alignment horizontal="center" vertical="center"/>
    </xf>
    <xf numFmtId="167" fontId="11" fillId="0" borderId="4" xfId="3" applyNumberFormat="1" applyFont="1" applyFill="1" applyBorder="1" applyAlignment="1" applyProtection="1">
      <alignment horizontal="center" vertical="center"/>
    </xf>
    <xf numFmtId="0" fontId="28" fillId="0" borderId="12" xfId="2" applyFont="1" applyFill="1" applyBorder="1" applyAlignment="1" applyProtection="1">
      <alignment horizontal="center" vertical="center"/>
    </xf>
    <xf numFmtId="0" fontId="11" fillId="0" borderId="12" xfId="2" applyFont="1" applyBorder="1" applyAlignment="1">
      <alignment horizontal="center"/>
    </xf>
    <xf numFmtId="0" fontId="11" fillId="0" borderId="2" xfId="2" applyFont="1" applyBorder="1" applyAlignment="1" applyProtection="1">
      <alignment horizontal="left" vertical="top"/>
    </xf>
    <xf numFmtId="0" fontId="11" fillId="0" borderId="4" xfId="2" applyFont="1" applyBorder="1" applyAlignment="1" applyProtection="1">
      <alignment horizontal="left" vertical="top"/>
    </xf>
    <xf numFmtId="0" fontId="28" fillId="0" borderId="0" xfId="2" applyFont="1" applyFill="1" applyAlignment="1">
      <alignment horizontal="left" wrapText="1"/>
    </xf>
    <xf numFmtId="0" fontId="28" fillId="0" borderId="2" xfId="2" applyFont="1" applyBorder="1" applyAlignment="1">
      <alignment horizontal="center"/>
    </xf>
    <xf numFmtId="0" fontId="28" fillId="0" borderId="3" xfId="2" applyFont="1" applyBorder="1" applyAlignment="1">
      <alignment horizontal="center"/>
    </xf>
    <xf numFmtId="0" fontId="28" fillId="0" borderId="4" xfId="2" applyFont="1" applyBorder="1" applyAlignment="1">
      <alignment horizontal="center"/>
    </xf>
    <xf numFmtId="0" fontId="28" fillId="2" borderId="2" xfId="2" applyFont="1" applyFill="1" applyBorder="1" applyAlignment="1">
      <alignment horizontal="center"/>
    </xf>
    <xf numFmtId="0" fontId="28" fillId="2" borderId="3" xfId="2" applyFont="1" applyFill="1" applyBorder="1" applyAlignment="1">
      <alignment horizontal="center"/>
    </xf>
    <xf numFmtId="0" fontId="28" fillId="2" borderId="4" xfId="2" applyFont="1" applyFill="1" applyBorder="1" applyAlignment="1">
      <alignment horizontal="center"/>
    </xf>
    <xf numFmtId="0" fontId="28" fillId="2" borderId="2" xfId="2" applyFont="1" applyFill="1" applyBorder="1" applyAlignment="1">
      <alignment horizontal="center" vertical="center" wrapText="1"/>
    </xf>
    <xf numFmtId="0" fontId="28" fillId="2" borderId="3" xfId="2" applyFont="1" applyFill="1" applyBorder="1" applyAlignment="1">
      <alignment horizontal="center" vertical="center" wrapText="1"/>
    </xf>
    <xf numFmtId="0" fontId="28" fillId="2" borderId="4" xfId="2" applyFont="1" applyFill="1" applyBorder="1" applyAlignment="1">
      <alignment horizontal="center" vertical="center" wrapText="1"/>
    </xf>
    <xf numFmtId="0" fontId="28" fillId="0" borderId="12" xfId="2" applyFont="1" applyBorder="1"/>
    <xf numFmtId="0" fontId="28" fillId="0" borderId="12" xfId="2" applyFont="1" applyBorder="1" applyAlignment="1">
      <alignment horizontal="center" wrapText="1"/>
    </xf>
    <xf numFmtId="0" fontId="11" fillId="0" borderId="12" xfId="2" applyFont="1" applyBorder="1" applyAlignment="1">
      <alignment horizontal="left"/>
    </xf>
    <xf numFmtId="3" fontId="11" fillId="0" borderId="12" xfId="2" applyNumberFormat="1" applyFont="1" applyBorder="1" applyAlignment="1">
      <alignment horizontal="center"/>
    </xf>
    <xf numFmtId="0" fontId="33" fillId="0" borderId="0" xfId="2" applyFont="1" applyBorder="1" applyAlignment="1" applyProtection="1">
      <alignment horizontal="center" vertical="center"/>
    </xf>
    <xf numFmtId="0" fontId="28" fillId="3" borderId="1" xfId="2" applyFont="1" applyFill="1" applyBorder="1" applyAlignment="1" applyProtection="1">
      <alignment horizontal="left" vertical="center"/>
    </xf>
    <xf numFmtId="0" fontId="35" fillId="3" borderId="0" xfId="2" applyFont="1" applyFill="1" applyBorder="1" applyAlignment="1">
      <alignment horizontal="center" wrapText="1"/>
    </xf>
    <xf numFmtId="0" fontId="9" fillId="3" borderId="0" xfId="0" applyFont="1" applyFill="1" applyBorder="1" applyAlignment="1">
      <alignment horizontal="center" vertical="center" wrapText="1"/>
    </xf>
    <xf numFmtId="0" fontId="28" fillId="2" borderId="12" xfId="2" applyFont="1" applyFill="1" applyBorder="1" applyAlignment="1">
      <alignment horizontal="center"/>
    </xf>
    <xf numFmtId="0" fontId="6" fillId="3" borderId="0" xfId="0" applyFont="1" applyFill="1" applyBorder="1" applyAlignment="1">
      <alignment horizontal="center" vertical="center" wrapText="1"/>
    </xf>
    <xf numFmtId="0" fontId="6" fillId="3" borderId="0" xfId="0" applyFont="1" applyFill="1" applyBorder="1" applyAlignment="1">
      <alignment horizontal="center"/>
    </xf>
    <xf numFmtId="0" fontId="11" fillId="0" borderId="2" xfId="2" applyFont="1" applyBorder="1" applyAlignment="1">
      <alignment horizontal="left"/>
    </xf>
    <xf numFmtId="0" fontId="11" fillId="0" borderId="3" xfId="2" applyFont="1" applyBorder="1" applyAlignment="1">
      <alignment horizontal="left"/>
    </xf>
    <xf numFmtId="0" fontId="11" fillId="0" borderId="4" xfId="2" applyFont="1" applyBorder="1" applyAlignment="1">
      <alignment horizontal="left"/>
    </xf>
    <xf numFmtId="3" fontId="28" fillId="0" borderId="2" xfId="2" applyNumberFormat="1" applyFont="1" applyBorder="1" applyAlignment="1">
      <alignment horizontal="center"/>
    </xf>
    <xf numFmtId="3" fontId="28" fillId="0" borderId="4" xfId="2" applyNumberFormat="1" applyFont="1" applyBorder="1" applyAlignment="1">
      <alignment horizontal="center"/>
    </xf>
    <xf numFmtId="0" fontId="12" fillId="3" borderId="0" xfId="17" applyFont="1" applyFill="1" applyAlignment="1">
      <alignment horizontal="center"/>
    </xf>
    <xf numFmtId="0" fontId="15" fillId="15" borderId="12" xfId="17" applyFont="1" applyFill="1" applyBorder="1" applyAlignment="1">
      <alignment horizontal="center"/>
    </xf>
    <xf numFmtId="0" fontId="15" fillId="3" borderId="6" xfId="17" applyFont="1" applyFill="1" applyBorder="1" applyAlignment="1">
      <alignment horizontal="justify" vertical="justify" wrapText="1"/>
    </xf>
    <xf numFmtId="0" fontId="15" fillId="3" borderId="5" xfId="17" applyFont="1" applyFill="1" applyBorder="1" applyAlignment="1">
      <alignment horizontal="justify" vertical="justify"/>
    </xf>
    <xf numFmtId="0" fontId="15" fillId="3" borderId="7" xfId="17" applyFont="1" applyFill="1" applyBorder="1" applyAlignment="1">
      <alignment horizontal="justify" vertical="justify"/>
    </xf>
    <xf numFmtId="0" fontId="15" fillId="3" borderId="2" xfId="17" applyFont="1" applyFill="1" applyBorder="1" applyAlignment="1">
      <alignment horizontal="justify" vertical="center" wrapText="1"/>
    </xf>
    <xf numFmtId="0" fontId="15" fillId="3" borderId="3" xfId="17" applyFont="1" applyFill="1" applyBorder="1" applyAlignment="1">
      <alignment horizontal="justify" vertical="center"/>
    </xf>
    <xf numFmtId="0" fontId="15" fillId="3" borderId="4" xfId="17" applyFont="1" applyFill="1" applyBorder="1" applyAlignment="1">
      <alignment horizontal="justify" vertical="center"/>
    </xf>
    <xf numFmtId="0" fontId="10" fillId="3" borderId="12" xfId="0" applyFont="1" applyFill="1" applyBorder="1" applyAlignment="1">
      <alignment horizontal="center" vertical="center" wrapText="1"/>
    </xf>
    <xf numFmtId="0" fontId="10" fillId="3" borderId="12" xfId="0" applyFont="1" applyFill="1" applyBorder="1" applyAlignment="1">
      <alignment horizontal="right" vertical="center"/>
    </xf>
    <xf numFmtId="0" fontId="10" fillId="3" borderId="2" xfId="0" applyFont="1" applyFill="1" applyBorder="1" applyAlignment="1">
      <alignment horizontal="center" vertical="center" wrapText="1"/>
    </xf>
    <xf numFmtId="0" fontId="14" fillId="3" borderId="12" xfId="0" applyFont="1" applyFill="1" applyBorder="1" applyAlignment="1">
      <alignment horizontal="right" vertical="center" wrapText="1"/>
    </xf>
    <xf numFmtId="0" fontId="14" fillId="3" borderId="0" xfId="0" applyFont="1" applyFill="1" applyAlignment="1">
      <alignment horizontal="center" vertical="center"/>
    </xf>
    <xf numFmtId="0" fontId="14" fillId="3" borderId="2" xfId="0" applyFont="1" applyFill="1" applyBorder="1" applyAlignment="1">
      <alignment horizontal="center"/>
    </xf>
    <xf numFmtId="0" fontId="14" fillId="3" borderId="3" xfId="0" applyFont="1" applyFill="1" applyBorder="1" applyAlignment="1">
      <alignment horizontal="center"/>
    </xf>
    <xf numFmtId="0" fontId="0" fillId="0" borderId="0" xfId="0" applyFont="1" applyAlignment="1">
      <alignment horizontal="left" vertical="center" wrapText="1"/>
    </xf>
    <xf numFmtId="0" fontId="10" fillId="3" borderId="2" xfId="0" applyFont="1" applyFill="1" applyBorder="1" applyAlignment="1">
      <alignment horizontal="right" vertical="center" wrapText="1"/>
    </xf>
    <xf numFmtId="0" fontId="10" fillId="3" borderId="3" xfId="0" applyFont="1" applyFill="1" applyBorder="1" applyAlignment="1">
      <alignment horizontal="right" vertical="center" wrapText="1"/>
    </xf>
    <xf numFmtId="0" fontId="10" fillId="3" borderId="4" xfId="0" applyFont="1" applyFill="1" applyBorder="1" applyAlignment="1">
      <alignment horizontal="right" vertical="center" wrapText="1"/>
    </xf>
    <xf numFmtId="0" fontId="10" fillId="3" borderId="2" xfId="0" applyFont="1" applyFill="1" applyBorder="1" applyAlignment="1">
      <alignment horizontal="right" vertical="center"/>
    </xf>
    <xf numFmtId="0" fontId="10" fillId="3" borderId="3" xfId="0" applyFont="1" applyFill="1" applyBorder="1" applyAlignment="1">
      <alignment horizontal="right" vertical="center"/>
    </xf>
    <xf numFmtId="0" fontId="10" fillId="3" borderId="4" xfId="0" applyFont="1" applyFill="1" applyBorder="1" applyAlignment="1">
      <alignment horizontal="right" vertical="center"/>
    </xf>
  </cellXfs>
  <cellStyles count="24">
    <cellStyle name="Excel_BuiltIn_Percent" xfId="21"/>
    <cellStyle name="Hiperlink 2" xfId="4"/>
    <cellStyle name="Moeda" xfId="1" builtinId="4"/>
    <cellStyle name="Moeda 2" xfId="5"/>
    <cellStyle name="Moeda 2 2" xfId="6"/>
    <cellStyle name="Moeda 3" xfId="7"/>
    <cellStyle name="Moeda 4" xfId="20"/>
    <cellStyle name="Normal" xfId="0" builtinId="0"/>
    <cellStyle name="Normal 2" xfId="2"/>
    <cellStyle name="Normal 2 2" xfId="8"/>
    <cellStyle name="Normal 3" xfId="9"/>
    <cellStyle name="Normal 3 2" xfId="10"/>
    <cellStyle name="Normal 4" xfId="17"/>
    <cellStyle name="Porcentagem" xfId="22" builtinId="5"/>
    <cellStyle name="Porcentagem 2" xfId="11"/>
    <cellStyle name="Porcentagem 2 2" xfId="12"/>
    <cellStyle name="Porcentagem 3" xfId="13"/>
    <cellStyle name="Porcentagem 4" xfId="19"/>
    <cellStyle name="Separador de milhares 2" xfId="14"/>
    <cellStyle name="Separador de milhares 3" xfId="15"/>
    <cellStyle name="Vírgula" xfId="23" builtinId="3"/>
    <cellStyle name="Vírgula 2" xfId="3"/>
    <cellStyle name="Vírgula 3" xfId="16"/>
    <cellStyle name="Vírgula 4" xfId="18"/>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E5CA"/>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E0EFD4"/>
      <rgbColor rgb="FFFFF9AE"/>
      <rgbColor rgb="FF99CCFF"/>
      <rgbColor rgb="FFF8AA97"/>
      <rgbColor rgb="FFCC99FF"/>
      <rgbColor rgb="FFFFCC99"/>
      <rgbColor rgb="FF3366FF"/>
      <rgbColor rgb="FF33CCCC"/>
      <rgbColor rgb="FF99CC00"/>
      <rgbColor rgb="FFFFCC00"/>
      <rgbColor rgb="FFFF9900"/>
      <rgbColor rgb="FFFF6600"/>
      <rgbColor rgb="FF666699"/>
      <rgbColor rgb="FFB2B2B2"/>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4.jp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2657623</xdr:colOff>
      <xdr:row>0</xdr:row>
      <xdr:rowOff>115358</xdr:rowOff>
    </xdr:from>
    <xdr:to>
      <xdr:col>6</xdr:col>
      <xdr:colOff>752027</xdr:colOff>
      <xdr:row>0</xdr:row>
      <xdr:rowOff>1017663</xdr:rowOff>
    </xdr:to>
    <xdr:pic>
      <xdr:nvPicPr>
        <xdr:cNvPr id="3" name="figura1">
          <a:extLst>
            <a:ext uri="{FF2B5EF4-FFF2-40B4-BE49-F238E27FC236}">
              <a16:creationId xmlns:a16="http://schemas.microsoft.com/office/drawing/2014/main" xmlns="" id="{00000000-0008-0000-0700-000003000000}"/>
            </a:ext>
          </a:extLst>
        </xdr:cNvPr>
        <xdr:cNvPicPr/>
      </xdr:nvPicPr>
      <xdr:blipFill>
        <a:blip xmlns:r="http://schemas.openxmlformats.org/officeDocument/2006/relationships" r:embed="rId1">
          <a:lum/>
          <a:alphaModFix/>
        </a:blip>
        <a:srcRect/>
        <a:stretch>
          <a:fillRect/>
        </a:stretch>
      </xdr:blipFill>
      <xdr:spPr>
        <a:xfrm>
          <a:off x="3244998" y="115358"/>
          <a:ext cx="5142904" cy="902305"/>
        </a:xfrm>
        <a:prstGeom prst="rect">
          <a:avLst/>
        </a:prstGeom>
        <a:solidFill>
          <a:srgbClr val="FFFFFF"/>
        </a:solidFill>
        <a:ln>
          <a:noFill/>
          <a:prstDash/>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4"/>
  <sheetViews>
    <sheetView tabSelected="1" view="pageBreakPreview" topLeftCell="A2" zoomScaleNormal="100" zoomScaleSheetLayoutView="100" zoomScalePageLayoutView="80" workbookViewId="0">
      <selection activeCell="E18" sqref="E18"/>
    </sheetView>
  </sheetViews>
  <sheetFormatPr defaultRowHeight="14.25" x14ac:dyDescent="0.2"/>
  <cols>
    <col min="1" max="1" width="6.5703125" style="282" bestFit="1" customWidth="1"/>
    <col min="2" max="2" width="41.5703125" style="282" customWidth="1"/>
    <col min="3" max="3" width="17.140625" style="282" customWidth="1"/>
    <col min="4" max="4" width="16.7109375" style="282" customWidth="1"/>
    <col min="5" max="5" width="13.5703125" style="282" bestFit="1" customWidth="1"/>
    <col min="6" max="6" width="17.140625" style="282" bestFit="1" customWidth="1"/>
    <col min="7" max="7" width="19" style="277" bestFit="1" customWidth="1"/>
    <col min="8" max="8" width="15" style="277" bestFit="1" customWidth="1"/>
    <col min="9" max="246" width="9.28515625" style="277"/>
    <col min="247" max="247" width="42.42578125" style="277" customWidth="1"/>
    <col min="248" max="248" width="14.7109375" style="277" customWidth="1"/>
    <col min="249" max="249" width="0" style="277" hidden="1" customWidth="1"/>
    <col min="250" max="250" width="16.7109375" style="277" customWidth="1"/>
    <col min="251" max="251" width="18.42578125" style="277" customWidth="1"/>
    <col min="252" max="253" width="20.7109375" style="277" customWidth="1"/>
    <col min="254" max="254" width="18.28515625" style="277" customWidth="1"/>
    <col min="255" max="255" width="19.42578125" style="277" customWidth="1"/>
    <col min="256" max="262" width="0" style="277" hidden="1" customWidth="1"/>
    <col min="263" max="502" width="9.28515625" style="277"/>
    <col min="503" max="503" width="42.42578125" style="277" customWidth="1"/>
    <col min="504" max="504" width="14.7109375" style="277" customWidth="1"/>
    <col min="505" max="505" width="0" style="277" hidden="1" customWidth="1"/>
    <col min="506" max="506" width="16.7109375" style="277" customWidth="1"/>
    <col min="507" max="507" width="18.42578125" style="277" customWidth="1"/>
    <col min="508" max="509" width="20.7109375" style="277" customWidth="1"/>
    <col min="510" max="510" width="18.28515625" style="277" customWidth="1"/>
    <col min="511" max="511" width="19.42578125" style="277" customWidth="1"/>
    <col min="512" max="518" width="0" style="277" hidden="1" customWidth="1"/>
    <col min="519" max="758" width="9.28515625" style="277"/>
    <col min="759" max="759" width="42.42578125" style="277" customWidth="1"/>
    <col min="760" max="760" width="14.7109375" style="277" customWidth="1"/>
    <col min="761" max="761" width="0" style="277" hidden="1" customWidth="1"/>
    <col min="762" max="762" width="16.7109375" style="277" customWidth="1"/>
    <col min="763" max="763" width="18.42578125" style="277" customWidth="1"/>
    <col min="764" max="765" width="20.7109375" style="277" customWidth="1"/>
    <col min="766" max="766" width="18.28515625" style="277" customWidth="1"/>
    <col min="767" max="767" width="19.42578125" style="277" customWidth="1"/>
    <col min="768" max="774" width="0" style="277" hidden="1" customWidth="1"/>
    <col min="775" max="1014" width="9.28515625" style="277"/>
    <col min="1015" max="1015" width="42.42578125" style="277" customWidth="1"/>
    <col min="1016" max="1016" width="14.7109375" style="277" customWidth="1"/>
    <col min="1017" max="1017" width="0" style="277" hidden="1" customWidth="1"/>
    <col min="1018" max="1018" width="16.7109375" style="277" customWidth="1"/>
    <col min="1019" max="1019" width="18.42578125" style="277" customWidth="1"/>
    <col min="1020" max="1021" width="20.7109375" style="277" customWidth="1"/>
    <col min="1022" max="1022" width="18.28515625" style="277" customWidth="1"/>
    <col min="1023" max="1023" width="19.42578125" style="277" customWidth="1"/>
    <col min="1024" max="1030" width="0" style="277" hidden="1" customWidth="1"/>
    <col min="1031" max="1270" width="9.28515625" style="277"/>
    <col min="1271" max="1271" width="42.42578125" style="277" customWidth="1"/>
    <col min="1272" max="1272" width="14.7109375" style="277" customWidth="1"/>
    <col min="1273" max="1273" width="0" style="277" hidden="1" customWidth="1"/>
    <col min="1274" max="1274" width="16.7109375" style="277" customWidth="1"/>
    <col min="1275" max="1275" width="18.42578125" style="277" customWidth="1"/>
    <col min="1276" max="1277" width="20.7109375" style="277" customWidth="1"/>
    <col min="1278" max="1278" width="18.28515625" style="277" customWidth="1"/>
    <col min="1279" max="1279" width="19.42578125" style="277" customWidth="1"/>
    <col min="1280" max="1286" width="0" style="277" hidden="1" customWidth="1"/>
    <col min="1287" max="1526" width="9.28515625" style="277"/>
    <col min="1527" max="1527" width="42.42578125" style="277" customWidth="1"/>
    <col min="1528" max="1528" width="14.7109375" style="277" customWidth="1"/>
    <col min="1529" max="1529" width="0" style="277" hidden="1" customWidth="1"/>
    <col min="1530" max="1530" width="16.7109375" style="277" customWidth="1"/>
    <col min="1531" max="1531" width="18.42578125" style="277" customWidth="1"/>
    <col min="1532" max="1533" width="20.7109375" style="277" customWidth="1"/>
    <col min="1534" max="1534" width="18.28515625" style="277" customWidth="1"/>
    <col min="1535" max="1535" width="19.42578125" style="277" customWidth="1"/>
    <col min="1536" max="1542" width="0" style="277" hidden="1" customWidth="1"/>
    <col min="1543" max="1782" width="9.28515625" style="277"/>
    <col min="1783" max="1783" width="42.42578125" style="277" customWidth="1"/>
    <col min="1784" max="1784" width="14.7109375" style="277" customWidth="1"/>
    <col min="1785" max="1785" width="0" style="277" hidden="1" customWidth="1"/>
    <col min="1786" max="1786" width="16.7109375" style="277" customWidth="1"/>
    <col min="1787" max="1787" width="18.42578125" style="277" customWidth="1"/>
    <col min="1788" max="1789" width="20.7109375" style="277" customWidth="1"/>
    <col min="1790" max="1790" width="18.28515625" style="277" customWidth="1"/>
    <col min="1791" max="1791" width="19.42578125" style="277" customWidth="1"/>
    <col min="1792" max="1798" width="0" style="277" hidden="1" customWidth="1"/>
    <col min="1799" max="2038" width="9.28515625" style="277"/>
    <col min="2039" max="2039" width="42.42578125" style="277" customWidth="1"/>
    <col min="2040" max="2040" width="14.7109375" style="277" customWidth="1"/>
    <col min="2041" max="2041" width="0" style="277" hidden="1" customWidth="1"/>
    <col min="2042" max="2042" width="16.7109375" style="277" customWidth="1"/>
    <col min="2043" max="2043" width="18.42578125" style="277" customWidth="1"/>
    <col min="2044" max="2045" width="20.7109375" style="277" customWidth="1"/>
    <col min="2046" max="2046" width="18.28515625" style="277" customWidth="1"/>
    <col min="2047" max="2047" width="19.42578125" style="277" customWidth="1"/>
    <col min="2048" max="2054" width="0" style="277" hidden="1" customWidth="1"/>
    <col min="2055" max="2294" width="9.28515625" style="277"/>
    <col min="2295" max="2295" width="42.42578125" style="277" customWidth="1"/>
    <col min="2296" max="2296" width="14.7109375" style="277" customWidth="1"/>
    <col min="2297" max="2297" width="0" style="277" hidden="1" customWidth="1"/>
    <col min="2298" max="2298" width="16.7109375" style="277" customWidth="1"/>
    <col min="2299" max="2299" width="18.42578125" style="277" customWidth="1"/>
    <col min="2300" max="2301" width="20.7109375" style="277" customWidth="1"/>
    <col min="2302" max="2302" width="18.28515625" style="277" customWidth="1"/>
    <col min="2303" max="2303" width="19.42578125" style="277" customWidth="1"/>
    <col min="2304" max="2310" width="0" style="277" hidden="1" customWidth="1"/>
    <col min="2311" max="2550" width="9.28515625" style="277"/>
    <col min="2551" max="2551" width="42.42578125" style="277" customWidth="1"/>
    <col min="2552" max="2552" width="14.7109375" style="277" customWidth="1"/>
    <col min="2553" max="2553" width="0" style="277" hidden="1" customWidth="1"/>
    <col min="2554" max="2554" width="16.7109375" style="277" customWidth="1"/>
    <col min="2555" max="2555" width="18.42578125" style="277" customWidth="1"/>
    <col min="2556" max="2557" width="20.7109375" style="277" customWidth="1"/>
    <col min="2558" max="2558" width="18.28515625" style="277" customWidth="1"/>
    <col min="2559" max="2559" width="19.42578125" style="277" customWidth="1"/>
    <col min="2560" max="2566" width="0" style="277" hidden="1" customWidth="1"/>
    <col min="2567" max="2806" width="9.28515625" style="277"/>
    <col min="2807" max="2807" width="42.42578125" style="277" customWidth="1"/>
    <col min="2808" max="2808" width="14.7109375" style="277" customWidth="1"/>
    <col min="2809" max="2809" width="0" style="277" hidden="1" customWidth="1"/>
    <col min="2810" max="2810" width="16.7109375" style="277" customWidth="1"/>
    <col min="2811" max="2811" width="18.42578125" style="277" customWidth="1"/>
    <col min="2812" max="2813" width="20.7109375" style="277" customWidth="1"/>
    <col min="2814" max="2814" width="18.28515625" style="277" customWidth="1"/>
    <col min="2815" max="2815" width="19.42578125" style="277" customWidth="1"/>
    <col min="2816" max="2822" width="0" style="277" hidden="1" customWidth="1"/>
    <col min="2823" max="3062" width="9.28515625" style="277"/>
    <col min="3063" max="3063" width="42.42578125" style="277" customWidth="1"/>
    <col min="3064" max="3064" width="14.7109375" style="277" customWidth="1"/>
    <col min="3065" max="3065" width="0" style="277" hidden="1" customWidth="1"/>
    <col min="3066" max="3066" width="16.7109375" style="277" customWidth="1"/>
    <col min="3067" max="3067" width="18.42578125" style="277" customWidth="1"/>
    <col min="3068" max="3069" width="20.7109375" style="277" customWidth="1"/>
    <col min="3070" max="3070" width="18.28515625" style="277" customWidth="1"/>
    <col min="3071" max="3071" width="19.42578125" style="277" customWidth="1"/>
    <col min="3072" max="3078" width="0" style="277" hidden="1" customWidth="1"/>
    <col min="3079" max="3318" width="9.28515625" style="277"/>
    <col min="3319" max="3319" width="42.42578125" style="277" customWidth="1"/>
    <col min="3320" max="3320" width="14.7109375" style="277" customWidth="1"/>
    <col min="3321" max="3321" width="0" style="277" hidden="1" customWidth="1"/>
    <col min="3322" max="3322" width="16.7109375" style="277" customWidth="1"/>
    <col min="3323" max="3323" width="18.42578125" style="277" customWidth="1"/>
    <col min="3324" max="3325" width="20.7109375" style="277" customWidth="1"/>
    <col min="3326" max="3326" width="18.28515625" style="277" customWidth="1"/>
    <col min="3327" max="3327" width="19.42578125" style="277" customWidth="1"/>
    <col min="3328" max="3334" width="0" style="277" hidden="1" customWidth="1"/>
    <col min="3335" max="3574" width="9.28515625" style="277"/>
    <col min="3575" max="3575" width="42.42578125" style="277" customWidth="1"/>
    <col min="3576" max="3576" width="14.7109375" style="277" customWidth="1"/>
    <col min="3577" max="3577" width="0" style="277" hidden="1" customWidth="1"/>
    <col min="3578" max="3578" width="16.7109375" style="277" customWidth="1"/>
    <col min="3579" max="3579" width="18.42578125" style="277" customWidth="1"/>
    <col min="3580" max="3581" width="20.7109375" style="277" customWidth="1"/>
    <col min="3582" max="3582" width="18.28515625" style="277" customWidth="1"/>
    <col min="3583" max="3583" width="19.42578125" style="277" customWidth="1"/>
    <col min="3584" max="3590" width="0" style="277" hidden="1" customWidth="1"/>
    <col min="3591" max="3830" width="9.28515625" style="277"/>
    <col min="3831" max="3831" width="42.42578125" style="277" customWidth="1"/>
    <col min="3832" max="3832" width="14.7109375" style="277" customWidth="1"/>
    <col min="3833" max="3833" width="0" style="277" hidden="1" customWidth="1"/>
    <col min="3834" max="3834" width="16.7109375" style="277" customWidth="1"/>
    <col min="3835" max="3835" width="18.42578125" style="277" customWidth="1"/>
    <col min="3836" max="3837" width="20.7109375" style="277" customWidth="1"/>
    <col min="3838" max="3838" width="18.28515625" style="277" customWidth="1"/>
    <col min="3839" max="3839" width="19.42578125" style="277" customWidth="1"/>
    <col min="3840" max="3846" width="0" style="277" hidden="1" customWidth="1"/>
    <col min="3847" max="4086" width="9.28515625" style="277"/>
    <col min="4087" max="4087" width="42.42578125" style="277" customWidth="1"/>
    <col min="4088" max="4088" width="14.7109375" style="277" customWidth="1"/>
    <col min="4089" max="4089" width="0" style="277" hidden="1" customWidth="1"/>
    <col min="4090" max="4090" width="16.7109375" style="277" customWidth="1"/>
    <col min="4091" max="4091" width="18.42578125" style="277" customWidth="1"/>
    <col min="4092" max="4093" width="20.7109375" style="277" customWidth="1"/>
    <col min="4094" max="4094" width="18.28515625" style="277" customWidth="1"/>
    <col min="4095" max="4095" width="19.42578125" style="277" customWidth="1"/>
    <col min="4096" max="4102" width="0" style="277" hidden="1" customWidth="1"/>
    <col min="4103" max="4342" width="9.28515625" style="277"/>
    <col min="4343" max="4343" width="42.42578125" style="277" customWidth="1"/>
    <col min="4344" max="4344" width="14.7109375" style="277" customWidth="1"/>
    <col min="4345" max="4345" width="0" style="277" hidden="1" customWidth="1"/>
    <col min="4346" max="4346" width="16.7109375" style="277" customWidth="1"/>
    <col min="4347" max="4347" width="18.42578125" style="277" customWidth="1"/>
    <col min="4348" max="4349" width="20.7109375" style="277" customWidth="1"/>
    <col min="4350" max="4350" width="18.28515625" style="277" customWidth="1"/>
    <col min="4351" max="4351" width="19.42578125" style="277" customWidth="1"/>
    <col min="4352" max="4358" width="0" style="277" hidden="1" customWidth="1"/>
    <col min="4359" max="4598" width="9.28515625" style="277"/>
    <col min="4599" max="4599" width="42.42578125" style="277" customWidth="1"/>
    <col min="4600" max="4600" width="14.7109375" style="277" customWidth="1"/>
    <col min="4601" max="4601" width="0" style="277" hidden="1" customWidth="1"/>
    <col min="4602" max="4602" width="16.7109375" style="277" customWidth="1"/>
    <col min="4603" max="4603" width="18.42578125" style="277" customWidth="1"/>
    <col min="4604" max="4605" width="20.7109375" style="277" customWidth="1"/>
    <col min="4606" max="4606" width="18.28515625" style="277" customWidth="1"/>
    <col min="4607" max="4607" width="19.42578125" style="277" customWidth="1"/>
    <col min="4608" max="4614" width="0" style="277" hidden="1" customWidth="1"/>
    <col min="4615" max="4854" width="9.28515625" style="277"/>
    <col min="4855" max="4855" width="42.42578125" style="277" customWidth="1"/>
    <col min="4856" max="4856" width="14.7109375" style="277" customWidth="1"/>
    <col min="4857" max="4857" width="0" style="277" hidden="1" customWidth="1"/>
    <col min="4858" max="4858" width="16.7109375" style="277" customWidth="1"/>
    <col min="4859" max="4859" width="18.42578125" style="277" customWidth="1"/>
    <col min="4860" max="4861" width="20.7109375" style="277" customWidth="1"/>
    <col min="4862" max="4862" width="18.28515625" style="277" customWidth="1"/>
    <col min="4863" max="4863" width="19.42578125" style="277" customWidth="1"/>
    <col min="4864" max="4870" width="0" style="277" hidden="1" customWidth="1"/>
    <col min="4871" max="5110" width="9.28515625" style="277"/>
    <col min="5111" max="5111" width="42.42578125" style="277" customWidth="1"/>
    <col min="5112" max="5112" width="14.7109375" style="277" customWidth="1"/>
    <col min="5113" max="5113" width="0" style="277" hidden="1" customWidth="1"/>
    <col min="5114" max="5114" width="16.7109375" style="277" customWidth="1"/>
    <col min="5115" max="5115" width="18.42578125" style="277" customWidth="1"/>
    <col min="5116" max="5117" width="20.7109375" style="277" customWidth="1"/>
    <col min="5118" max="5118" width="18.28515625" style="277" customWidth="1"/>
    <col min="5119" max="5119" width="19.42578125" style="277" customWidth="1"/>
    <col min="5120" max="5126" width="0" style="277" hidden="1" customWidth="1"/>
    <col min="5127" max="5366" width="9.28515625" style="277"/>
    <col min="5367" max="5367" width="42.42578125" style="277" customWidth="1"/>
    <col min="5368" max="5368" width="14.7109375" style="277" customWidth="1"/>
    <col min="5369" max="5369" width="0" style="277" hidden="1" customWidth="1"/>
    <col min="5370" max="5370" width="16.7109375" style="277" customWidth="1"/>
    <col min="5371" max="5371" width="18.42578125" style="277" customWidth="1"/>
    <col min="5372" max="5373" width="20.7109375" style="277" customWidth="1"/>
    <col min="5374" max="5374" width="18.28515625" style="277" customWidth="1"/>
    <col min="5375" max="5375" width="19.42578125" style="277" customWidth="1"/>
    <col min="5376" max="5382" width="0" style="277" hidden="1" customWidth="1"/>
    <col min="5383" max="5622" width="9.28515625" style="277"/>
    <col min="5623" max="5623" width="42.42578125" style="277" customWidth="1"/>
    <col min="5624" max="5624" width="14.7109375" style="277" customWidth="1"/>
    <col min="5625" max="5625" width="0" style="277" hidden="1" customWidth="1"/>
    <col min="5626" max="5626" width="16.7109375" style="277" customWidth="1"/>
    <col min="5627" max="5627" width="18.42578125" style="277" customWidth="1"/>
    <col min="5628" max="5629" width="20.7109375" style="277" customWidth="1"/>
    <col min="5630" max="5630" width="18.28515625" style="277" customWidth="1"/>
    <col min="5631" max="5631" width="19.42578125" style="277" customWidth="1"/>
    <col min="5632" max="5638" width="0" style="277" hidden="1" customWidth="1"/>
    <col min="5639" max="5878" width="9.28515625" style="277"/>
    <col min="5879" max="5879" width="42.42578125" style="277" customWidth="1"/>
    <col min="5880" max="5880" width="14.7109375" style="277" customWidth="1"/>
    <col min="5881" max="5881" width="0" style="277" hidden="1" customWidth="1"/>
    <col min="5882" max="5882" width="16.7109375" style="277" customWidth="1"/>
    <col min="5883" max="5883" width="18.42578125" style="277" customWidth="1"/>
    <col min="5884" max="5885" width="20.7109375" style="277" customWidth="1"/>
    <col min="5886" max="5886" width="18.28515625" style="277" customWidth="1"/>
    <col min="5887" max="5887" width="19.42578125" style="277" customWidth="1"/>
    <col min="5888" max="5894" width="0" style="277" hidden="1" customWidth="1"/>
    <col min="5895" max="6134" width="9.28515625" style="277"/>
    <col min="6135" max="6135" width="42.42578125" style="277" customWidth="1"/>
    <col min="6136" max="6136" width="14.7109375" style="277" customWidth="1"/>
    <col min="6137" max="6137" width="0" style="277" hidden="1" customWidth="1"/>
    <col min="6138" max="6138" width="16.7109375" style="277" customWidth="1"/>
    <col min="6139" max="6139" width="18.42578125" style="277" customWidth="1"/>
    <col min="6140" max="6141" width="20.7109375" style="277" customWidth="1"/>
    <col min="6142" max="6142" width="18.28515625" style="277" customWidth="1"/>
    <col min="6143" max="6143" width="19.42578125" style="277" customWidth="1"/>
    <col min="6144" max="6150" width="0" style="277" hidden="1" customWidth="1"/>
    <col min="6151" max="6390" width="9.28515625" style="277"/>
    <col min="6391" max="6391" width="42.42578125" style="277" customWidth="1"/>
    <col min="6392" max="6392" width="14.7109375" style="277" customWidth="1"/>
    <col min="6393" max="6393" width="0" style="277" hidden="1" customWidth="1"/>
    <col min="6394" max="6394" width="16.7109375" style="277" customWidth="1"/>
    <col min="6395" max="6395" width="18.42578125" style="277" customWidth="1"/>
    <col min="6396" max="6397" width="20.7109375" style="277" customWidth="1"/>
    <col min="6398" max="6398" width="18.28515625" style="277" customWidth="1"/>
    <col min="6399" max="6399" width="19.42578125" style="277" customWidth="1"/>
    <col min="6400" max="6406" width="0" style="277" hidden="1" customWidth="1"/>
    <col min="6407" max="6646" width="9.28515625" style="277"/>
    <col min="6647" max="6647" width="42.42578125" style="277" customWidth="1"/>
    <col min="6648" max="6648" width="14.7109375" style="277" customWidth="1"/>
    <col min="6649" max="6649" width="0" style="277" hidden="1" customWidth="1"/>
    <col min="6650" max="6650" width="16.7109375" style="277" customWidth="1"/>
    <col min="6651" max="6651" width="18.42578125" style="277" customWidth="1"/>
    <col min="6652" max="6653" width="20.7109375" style="277" customWidth="1"/>
    <col min="6654" max="6654" width="18.28515625" style="277" customWidth="1"/>
    <col min="6655" max="6655" width="19.42578125" style="277" customWidth="1"/>
    <col min="6656" max="6662" width="0" style="277" hidden="1" customWidth="1"/>
    <col min="6663" max="6902" width="9.28515625" style="277"/>
    <col min="6903" max="6903" width="42.42578125" style="277" customWidth="1"/>
    <col min="6904" max="6904" width="14.7109375" style="277" customWidth="1"/>
    <col min="6905" max="6905" width="0" style="277" hidden="1" customWidth="1"/>
    <col min="6906" max="6906" width="16.7109375" style="277" customWidth="1"/>
    <col min="6907" max="6907" width="18.42578125" style="277" customWidth="1"/>
    <col min="6908" max="6909" width="20.7109375" style="277" customWidth="1"/>
    <col min="6910" max="6910" width="18.28515625" style="277" customWidth="1"/>
    <col min="6911" max="6911" width="19.42578125" style="277" customWidth="1"/>
    <col min="6912" max="6918" width="0" style="277" hidden="1" customWidth="1"/>
    <col min="6919" max="7158" width="9.28515625" style="277"/>
    <col min="7159" max="7159" width="42.42578125" style="277" customWidth="1"/>
    <col min="7160" max="7160" width="14.7109375" style="277" customWidth="1"/>
    <col min="7161" max="7161" width="0" style="277" hidden="1" customWidth="1"/>
    <col min="7162" max="7162" width="16.7109375" style="277" customWidth="1"/>
    <col min="7163" max="7163" width="18.42578125" style="277" customWidth="1"/>
    <col min="7164" max="7165" width="20.7109375" style="277" customWidth="1"/>
    <col min="7166" max="7166" width="18.28515625" style="277" customWidth="1"/>
    <col min="7167" max="7167" width="19.42578125" style="277" customWidth="1"/>
    <col min="7168" max="7174" width="0" style="277" hidden="1" customWidth="1"/>
    <col min="7175" max="7414" width="9.28515625" style="277"/>
    <col min="7415" max="7415" width="42.42578125" style="277" customWidth="1"/>
    <col min="7416" max="7416" width="14.7109375" style="277" customWidth="1"/>
    <col min="7417" max="7417" width="0" style="277" hidden="1" customWidth="1"/>
    <col min="7418" max="7418" width="16.7109375" style="277" customWidth="1"/>
    <col min="7419" max="7419" width="18.42578125" style="277" customWidth="1"/>
    <col min="7420" max="7421" width="20.7109375" style="277" customWidth="1"/>
    <col min="7422" max="7422" width="18.28515625" style="277" customWidth="1"/>
    <col min="7423" max="7423" width="19.42578125" style="277" customWidth="1"/>
    <col min="7424" max="7430" width="0" style="277" hidden="1" customWidth="1"/>
    <col min="7431" max="7670" width="9.28515625" style="277"/>
    <col min="7671" max="7671" width="42.42578125" style="277" customWidth="1"/>
    <col min="7672" max="7672" width="14.7109375" style="277" customWidth="1"/>
    <col min="7673" max="7673" width="0" style="277" hidden="1" customWidth="1"/>
    <col min="7674" max="7674" width="16.7109375" style="277" customWidth="1"/>
    <col min="7675" max="7675" width="18.42578125" style="277" customWidth="1"/>
    <col min="7676" max="7677" width="20.7109375" style="277" customWidth="1"/>
    <col min="7678" max="7678" width="18.28515625" style="277" customWidth="1"/>
    <col min="7679" max="7679" width="19.42578125" style="277" customWidth="1"/>
    <col min="7680" max="7686" width="0" style="277" hidden="1" customWidth="1"/>
    <col min="7687" max="7926" width="9.28515625" style="277"/>
    <col min="7927" max="7927" width="42.42578125" style="277" customWidth="1"/>
    <col min="7928" max="7928" width="14.7109375" style="277" customWidth="1"/>
    <col min="7929" max="7929" width="0" style="277" hidden="1" customWidth="1"/>
    <col min="7930" max="7930" width="16.7109375" style="277" customWidth="1"/>
    <col min="7931" max="7931" width="18.42578125" style="277" customWidth="1"/>
    <col min="7932" max="7933" width="20.7109375" style="277" customWidth="1"/>
    <col min="7934" max="7934" width="18.28515625" style="277" customWidth="1"/>
    <col min="7935" max="7935" width="19.42578125" style="277" customWidth="1"/>
    <col min="7936" max="7942" width="0" style="277" hidden="1" customWidth="1"/>
    <col min="7943" max="8182" width="9.28515625" style="277"/>
    <col min="8183" max="8183" width="42.42578125" style="277" customWidth="1"/>
    <col min="8184" max="8184" width="14.7109375" style="277" customWidth="1"/>
    <col min="8185" max="8185" width="0" style="277" hidden="1" customWidth="1"/>
    <col min="8186" max="8186" width="16.7109375" style="277" customWidth="1"/>
    <col min="8187" max="8187" width="18.42578125" style="277" customWidth="1"/>
    <col min="8188" max="8189" width="20.7109375" style="277" customWidth="1"/>
    <col min="8190" max="8190" width="18.28515625" style="277" customWidth="1"/>
    <col min="8191" max="8191" width="19.42578125" style="277" customWidth="1"/>
    <col min="8192" max="8198" width="0" style="277" hidden="1" customWidth="1"/>
    <col min="8199" max="8438" width="9.28515625" style="277"/>
    <col min="8439" max="8439" width="42.42578125" style="277" customWidth="1"/>
    <col min="8440" max="8440" width="14.7109375" style="277" customWidth="1"/>
    <col min="8441" max="8441" width="0" style="277" hidden="1" customWidth="1"/>
    <col min="8442" max="8442" width="16.7109375" style="277" customWidth="1"/>
    <col min="8443" max="8443" width="18.42578125" style="277" customWidth="1"/>
    <col min="8444" max="8445" width="20.7109375" style="277" customWidth="1"/>
    <col min="8446" max="8446" width="18.28515625" style="277" customWidth="1"/>
    <col min="8447" max="8447" width="19.42578125" style="277" customWidth="1"/>
    <col min="8448" max="8454" width="0" style="277" hidden="1" customWidth="1"/>
    <col min="8455" max="8694" width="9.28515625" style="277"/>
    <col min="8695" max="8695" width="42.42578125" style="277" customWidth="1"/>
    <col min="8696" max="8696" width="14.7109375" style="277" customWidth="1"/>
    <col min="8697" max="8697" width="0" style="277" hidden="1" customWidth="1"/>
    <col min="8698" max="8698" width="16.7109375" style="277" customWidth="1"/>
    <col min="8699" max="8699" width="18.42578125" style="277" customWidth="1"/>
    <col min="8700" max="8701" width="20.7109375" style="277" customWidth="1"/>
    <col min="8702" max="8702" width="18.28515625" style="277" customWidth="1"/>
    <col min="8703" max="8703" width="19.42578125" style="277" customWidth="1"/>
    <col min="8704" max="8710" width="0" style="277" hidden="1" customWidth="1"/>
    <col min="8711" max="8950" width="9.28515625" style="277"/>
    <col min="8951" max="8951" width="42.42578125" style="277" customWidth="1"/>
    <col min="8952" max="8952" width="14.7109375" style="277" customWidth="1"/>
    <col min="8953" max="8953" width="0" style="277" hidden="1" customWidth="1"/>
    <col min="8954" max="8954" width="16.7109375" style="277" customWidth="1"/>
    <col min="8955" max="8955" width="18.42578125" style="277" customWidth="1"/>
    <col min="8956" max="8957" width="20.7109375" style="277" customWidth="1"/>
    <col min="8958" max="8958" width="18.28515625" style="277" customWidth="1"/>
    <col min="8959" max="8959" width="19.42578125" style="277" customWidth="1"/>
    <col min="8960" max="8966" width="0" style="277" hidden="1" customWidth="1"/>
    <col min="8967" max="9206" width="9.28515625" style="277"/>
    <col min="9207" max="9207" width="42.42578125" style="277" customWidth="1"/>
    <col min="9208" max="9208" width="14.7109375" style="277" customWidth="1"/>
    <col min="9209" max="9209" width="0" style="277" hidden="1" customWidth="1"/>
    <col min="9210" max="9210" width="16.7109375" style="277" customWidth="1"/>
    <col min="9211" max="9211" width="18.42578125" style="277" customWidth="1"/>
    <col min="9212" max="9213" width="20.7109375" style="277" customWidth="1"/>
    <col min="9214" max="9214" width="18.28515625" style="277" customWidth="1"/>
    <col min="9215" max="9215" width="19.42578125" style="277" customWidth="1"/>
    <col min="9216" max="9222" width="0" style="277" hidden="1" customWidth="1"/>
    <col min="9223" max="9462" width="9.28515625" style="277"/>
    <col min="9463" max="9463" width="42.42578125" style="277" customWidth="1"/>
    <col min="9464" max="9464" width="14.7109375" style="277" customWidth="1"/>
    <col min="9465" max="9465" width="0" style="277" hidden="1" customWidth="1"/>
    <col min="9466" max="9466" width="16.7109375" style="277" customWidth="1"/>
    <col min="9467" max="9467" width="18.42578125" style="277" customWidth="1"/>
    <col min="9468" max="9469" width="20.7109375" style="277" customWidth="1"/>
    <col min="9470" max="9470" width="18.28515625" style="277" customWidth="1"/>
    <col min="9471" max="9471" width="19.42578125" style="277" customWidth="1"/>
    <col min="9472" max="9478" width="0" style="277" hidden="1" customWidth="1"/>
    <col min="9479" max="9718" width="9.28515625" style="277"/>
    <col min="9719" max="9719" width="42.42578125" style="277" customWidth="1"/>
    <col min="9720" max="9720" width="14.7109375" style="277" customWidth="1"/>
    <col min="9721" max="9721" width="0" style="277" hidden="1" customWidth="1"/>
    <col min="9722" max="9722" width="16.7109375" style="277" customWidth="1"/>
    <col min="9723" max="9723" width="18.42578125" style="277" customWidth="1"/>
    <col min="9724" max="9725" width="20.7109375" style="277" customWidth="1"/>
    <col min="9726" max="9726" width="18.28515625" style="277" customWidth="1"/>
    <col min="9727" max="9727" width="19.42578125" style="277" customWidth="1"/>
    <col min="9728" max="9734" width="0" style="277" hidden="1" customWidth="1"/>
    <col min="9735" max="9974" width="9.28515625" style="277"/>
    <col min="9975" max="9975" width="42.42578125" style="277" customWidth="1"/>
    <col min="9976" max="9976" width="14.7109375" style="277" customWidth="1"/>
    <col min="9977" max="9977" width="0" style="277" hidden="1" customWidth="1"/>
    <col min="9978" max="9978" width="16.7109375" style="277" customWidth="1"/>
    <col min="9979" max="9979" width="18.42578125" style="277" customWidth="1"/>
    <col min="9980" max="9981" width="20.7109375" style="277" customWidth="1"/>
    <col min="9982" max="9982" width="18.28515625" style="277" customWidth="1"/>
    <col min="9983" max="9983" width="19.42578125" style="277" customWidth="1"/>
    <col min="9984" max="9990" width="0" style="277" hidden="1" customWidth="1"/>
    <col min="9991" max="10230" width="9.28515625" style="277"/>
    <col min="10231" max="10231" width="42.42578125" style="277" customWidth="1"/>
    <col min="10232" max="10232" width="14.7109375" style="277" customWidth="1"/>
    <col min="10233" max="10233" width="0" style="277" hidden="1" customWidth="1"/>
    <col min="10234" max="10234" width="16.7109375" style="277" customWidth="1"/>
    <col min="10235" max="10235" width="18.42578125" style="277" customWidth="1"/>
    <col min="10236" max="10237" width="20.7109375" style="277" customWidth="1"/>
    <col min="10238" max="10238" width="18.28515625" style="277" customWidth="1"/>
    <col min="10239" max="10239" width="19.42578125" style="277" customWidth="1"/>
    <col min="10240" max="10246" width="0" style="277" hidden="1" customWidth="1"/>
    <col min="10247" max="10486" width="9.28515625" style="277"/>
    <col min="10487" max="10487" width="42.42578125" style="277" customWidth="1"/>
    <col min="10488" max="10488" width="14.7109375" style="277" customWidth="1"/>
    <col min="10489" max="10489" width="0" style="277" hidden="1" customWidth="1"/>
    <col min="10490" max="10490" width="16.7109375" style="277" customWidth="1"/>
    <col min="10491" max="10491" width="18.42578125" style="277" customWidth="1"/>
    <col min="10492" max="10493" width="20.7109375" style="277" customWidth="1"/>
    <col min="10494" max="10494" width="18.28515625" style="277" customWidth="1"/>
    <col min="10495" max="10495" width="19.42578125" style="277" customWidth="1"/>
    <col min="10496" max="10502" width="0" style="277" hidden="1" customWidth="1"/>
    <col min="10503" max="10742" width="9.28515625" style="277"/>
    <col min="10743" max="10743" width="42.42578125" style="277" customWidth="1"/>
    <col min="10744" max="10744" width="14.7109375" style="277" customWidth="1"/>
    <col min="10745" max="10745" width="0" style="277" hidden="1" customWidth="1"/>
    <col min="10746" max="10746" width="16.7109375" style="277" customWidth="1"/>
    <col min="10747" max="10747" width="18.42578125" style="277" customWidth="1"/>
    <col min="10748" max="10749" width="20.7109375" style="277" customWidth="1"/>
    <col min="10750" max="10750" width="18.28515625" style="277" customWidth="1"/>
    <col min="10751" max="10751" width="19.42578125" style="277" customWidth="1"/>
    <col min="10752" max="10758" width="0" style="277" hidden="1" customWidth="1"/>
    <col min="10759" max="10998" width="9.28515625" style="277"/>
    <col min="10999" max="10999" width="42.42578125" style="277" customWidth="1"/>
    <col min="11000" max="11000" width="14.7109375" style="277" customWidth="1"/>
    <col min="11001" max="11001" width="0" style="277" hidden="1" customWidth="1"/>
    <col min="11002" max="11002" width="16.7109375" style="277" customWidth="1"/>
    <col min="11003" max="11003" width="18.42578125" style="277" customWidth="1"/>
    <col min="11004" max="11005" width="20.7109375" style="277" customWidth="1"/>
    <col min="11006" max="11006" width="18.28515625" style="277" customWidth="1"/>
    <col min="11007" max="11007" width="19.42578125" style="277" customWidth="1"/>
    <col min="11008" max="11014" width="0" style="277" hidden="1" customWidth="1"/>
    <col min="11015" max="11254" width="9.28515625" style="277"/>
    <col min="11255" max="11255" width="42.42578125" style="277" customWidth="1"/>
    <col min="11256" max="11256" width="14.7109375" style="277" customWidth="1"/>
    <col min="11257" max="11257" width="0" style="277" hidden="1" customWidth="1"/>
    <col min="11258" max="11258" width="16.7109375" style="277" customWidth="1"/>
    <col min="11259" max="11259" width="18.42578125" style="277" customWidth="1"/>
    <col min="11260" max="11261" width="20.7109375" style="277" customWidth="1"/>
    <col min="11262" max="11262" width="18.28515625" style="277" customWidth="1"/>
    <col min="11263" max="11263" width="19.42578125" style="277" customWidth="1"/>
    <col min="11264" max="11270" width="0" style="277" hidden="1" customWidth="1"/>
    <col min="11271" max="11510" width="9.28515625" style="277"/>
    <col min="11511" max="11511" width="42.42578125" style="277" customWidth="1"/>
    <col min="11512" max="11512" width="14.7109375" style="277" customWidth="1"/>
    <col min="11513" max="11513" width="0" style="277" hidden="1" customWidth="1"/>
    <col min="11514" max="11514" width="16.7109375" style="277" customWidth="1"/>
    <col min="11515" max="11515" width="18.42578125" style="277" customWidth="1"/>
    <col min="11516" max="11517" width="20.7109375" style="277" customWidth="1"/>
    <col min="11518" max="11518" width="18.28515625" style="277" customWidth="1"/>
    <col min="11519" max="11519" width="19.42578125" style="277" customWidth="1"/>
    <col min="11520" max="11526" width="0" style="277" hidden="1" customWidth="1"/>
    <col min="11527" max="11766" width="9.28515625" style="277"/>
    <col min="11767" max="11767" width="42.42578125" style="277" customWidth="1"/>
    <col min="11768" max="11768" width="14.7109375" style="277" customWidth="1"/>
    <col min="11769" max="11769" width="0" style="277" hidden="1" customWidth="1"/>
    <col min="11770" max="11770" width="16.7109375" style="277" customWidth="1"/>
    <col min="11771" max="11771" width="18.42578125" style="277" customWidth="1"/>
    <col min="11772" max="11773" width="20.7109375" style="277" customWidth="1"/>
    <col min="11774" max="11774" width="18.28515625" style="277" customWidth="1"/>
    <col min="11775" max="11775" width="19.42578125" style="277" customWidth="1"/>
    <col min="11776" max="11782" width="0" style="277" hidden="1" customWidth="1"/>
    <col min="11783" max="12022" width="9.28515625" style="277"/>
    <col min="12023" max="12023" width="42.42578125" style="277" customWidth="1"/>
    <col min="12024" max="12024" width="14.7109375" style="277" customWidth="1"/>
    <col min="12025" max="12025" width="0" style="277" hidden="1" customWidth="1"/>
    <col min="12026" max="12026" width="16.7109375" style="277" customWidth="1"/>
    <col min="12027" max="12027" width="18.42578125" style="277" customWidth="1"/>
    <col min="12028" max="12029" width="20.7109375" style="277" customWidth="1"/>
    <col min="12030" max="12030" width="18.28515625" style="277" customWidth="1"/>
    <col min="12031" max="12031" width="19.42578125" style="277" customWidth="1"/>
    <col min="12032" max="12038" width="0" style="277" hidden="1" customWidth="1"/>
    <col min="12039" max="12278" width="9.28515625" style="277"/>
    <col min="12279" max="12279" width="42.42578125" style="277" customWidth="1"/>
    <col min="12280" max="12280" width="14.7109375" style="277" customWidth="1"/>
    <col min="12281" max="12281" width="0" style="277" hidden="1" customWidth="1"/>
    <col min="12282" max="12282" width="16.7109375" style="277" customWidth="1"/>
    <col min="12283" max="12283" width="18.42578125" style="277" customWidth="1"/>
    <col min="12284" max="12285" width="20.7109375" style="277" customWidth="1"/>
    <col min="12286" max="12286" width="18.28515625" style="277" customWidth="1"/>
    <col min="12287" max="12287" width="19.42578125" style="277" customWidth="1"/>
    <col min="12288" max="12294" width="0" style="277" hidden="1" customWidth="1"/>
    <col min="12295" max="12534" width="9.28515625" style="277"/>
    <col min="12535" max="12535" width="42.42578125" style="277" customWidth="1"/>
    <col min="12536" max="12536" width="14.7109375" style="277" customWidth="1"/>
    <col min="12537" max="12537" width="0" style="277" hidden="1" customWidth="1"/>
    <col min="12538" max="12538" width="16.7109375" style="277" customWidth="1"/>
    <col min="12539" max="12539" width="18.42578125" style="277" customWidth="1"/>
    <col min="12540" max="12541" width="20.7109375" style="277" customWidth="1"/>
    <col min="12542" max="12542" width="18.28515625" style="277" customWidth="1"/>
    <col min="12543" max="12543" width="19.42578125" style="277" customWidth="1"/>
    <col min="12544" max="12550" width="0" style="277" hidden="1" customWidth="1"/>
    <col min="12551" max="12790" width="9.28515625" style="277"/>
    <col min="12791" max="12791" width="42.42578125" style="277" customWidth="1"/>
    <col min="12792" max="12792" width="14.7109375" style="277" customWidth="1"/>
    <col min="12793" max="12793" width="0" style="277" hidden="1" customWidth="1"/>
    <col min="12794" max="12794" width="16.7109375" style="277" customWidth="1"/>
    <col min="12795" max="12795" width="18.42578125" style="277" customWidth="1"/>
    <col min="12796" max="12797" width="20.7109375" style="277" customWidth="1"/>
    <col min="12798" max="12798" width="18.28515625" style="277" customWidth="1"/>
    <col min="12799" max="12799" width="19.42578125" style="277" customWidth="1"/>
    <col min="12800" max="12806" width="0" style="277" hidden="1" customWidth="1"/>
    <col min="12807" max="13046" width="9.28515625" style="277"/>
    <col min="13047" max="13047" width="42.42578125" style="277" customWidth="1"/>
    <col min="13048" max="13048" width="14.7109375" style="277" customWidth="1"/>
    <col min="13049" max="13049" width="0" style="277" hidden="1" customWidth="1"/>
    <col min="13050" max="13050" width="16.7109375" style="277" customWidth="1"/>
    <col min="13051" max="13051" width="18.42578125" style="277" customWidth="1"/>
    <col min="13052" max="13053" width="20.7109375" style="277" customWidth="1"/>
    <col min="13054" max="13054" width="18.28515625" style="277" customWidth="1"/>
    <col min="13055" max="13055" width="19.42578125" style="277" customWidth="1"/>
    <col min="13056" max="13062" width="0" style="277" hidden="1" customWidth="1"/>
    <col min="13063" max="13302" width="9.28515625" style="277"/>
    <col min="13303" max="13303" width="42.42578125" style="277" customWidth="1"/>
    <col min="13304" max="13304" width="14.7109375" style="277" customWidth="1"/>
    <col min="13305" max="13305" width="0" style="277" hidden="1" customWidth="1"/>
    <col min="13306" max="13306" width="16.7109375" style="277" customWidth="1"/>
    <col min="13307" max="13307" width="18.42578125" style="277" customWidth="1"/>
    <col min="13308" max="13309" width="20.7109375" style="277" customWidth="1"/>
    <col min="13310" max="13310" width="18.28515625" style="277" customWidth="1"/>
    <col min="13311" max="13311" width="19.42578125" style="277" customWidth="1"/>
    <col min="13312" max="13318" width="0" style="277" hidden="1" customWidth="1"/>
    <col min="13319" max="13558" width="9.28515625" style="277"/>
    <col min="13559" max="13559" width="42.42578125" style="277" customWidth="1"/>
    <col min="13560" max="13560" width="14.7109375" style="277" customWidth="1"/>
    <col min="13561" max="13561" width="0" style="277" hidden="1" customWidth="1"/>
    <col min="13562" max="13562" width="16.7109375" style="277" customWidth="1"/>
    <col min="13563" max="13563" width="18.42578125" style="277" customWidth="1"/>
    <col min="13564" max="13565" width="20.7109375" style="277" customWidth="1"/>
    <col min="13566" max="13566" width="18.28515625" style="277" customWidth="1"/>
    <col min="13567" max="13567" width="19.42578125" style="277" customWidth="1"/>
    <col min="13568" max="13574" width="0" style="277" hidden="1" customWidth="1"/>
    <col min="13575" max="13814" width="9.28515625" style="277"/>
    <col min="13815" max="13815" width="42.42578125" style="277" customWidth="1"/>
    <col min="13816" max="13816" width="14.7109375" style="277" customWidth="1"/>
    <col min="13817" max="13817" width="0" style="277" hidden="1" customWidth="1"/>
    <col min="13818" max="13818" width="16.7109375" style="277" customWidth="1"/>
    <col min="13819" max="13819" width="18.42578125" style="277" customWidth="1"/>
    <col min="13820" max="13821" width="20.7109375" style="277" customWidth="1"/>
    <col min="13822" max="13822" width="18.28515625" style="277" customWidth="1"/>
    <col min="13823" max="13823" width="19.42578125" style="277" customWidth="1"/>
    <col min="13824" max="13830" width="0" style="277" hidden="1" customWidth="1"/>
    <col min="13831" max="14070" width="9.28515625" style="277"/>
    <col min="14071" max="14071" width="42.42578125" style="277" customWidth="1"/>
    <col min="14072" max="14072" width="14.7109375" style="277" customWidth="1"/>
    <col min="14073" max="14073" width="0" style="277" hidden="1" customWidth="1"/>
    <col min="14074" max="14074" width="16.7109375" style="277" customWidth="1"/>
    <col min="14075" max="14075" width="18.42578125" style="277" customWidth="1"/>
    <col min="14076" max="14077" width="20.7109375" style="277" customWidth="1"/>
    <col min="14078" max="14078" width="18.28515625" style="277" customWidth="1"/>
    <col min="14079" max="14079" width="19.42578125" style="277" customWidth="1"/>
    <col min="14080" max="14086" width="0" style="277" hidden="1" customWidth="1"/>
    <col min="14087" max="14326" width="9.28515625" style="277"/>
    <col min="14327" max="14327" width="42.42578125" style="277" customWidth="1"/>
    <col min="14328" max="14328" width="14.7109375" style="277" customWidth="1"/>
    <col min="14329" max="14329" width="0" style="277" hidden="1" customWidth="1"/>
    <col min="14330" max="14330" width="16.7109375" style="277" customWidth="1"/>
    <col min="14331" max="14331" width="18.42578125" style="277" customWidth="1"/>
    <col min="14332" max="14333" width="20.7109375" style="277" customWidth="1"/>
    <col min="14334" max="14334" width="18.28515625" style="277" customWidth="1"/>
    <col min="14335" max="14335" width="19.42578125" style="277" customWidth="1"/>
    <col min="14336" max="14342" width="0" style="277" hidden="1" customWidth="1"/>
    <col min="14343" max="14582" width="9.28515625" style="277"/>
    <col min="14583" max="14583" width="42.42578125" style="277" customWidth="1"/>
    <col min="14584" max="14584" width="14.7109375" style="277" customWidth="1"/>
    <col min="14585" max="14585" width="0" style="277" hidden="1" customWidth="1"/>
    <col min="14586" max="14586" width="16.7109375" style="277" customWidth="1"/>
    <col min="14587" max="14587" width="18.42578125" style="277" customWidth="1"/>
    <col min="14588" max="14589" width="20.7109375" style="277" customWidth="1"/>
    <col min="14590" max="14590" width="18.28515625" style="277" customWidth="1"/>
    <col min="14591" max="14591" width="19.42578125" style="277" customWidth="1"/>
    <col min="14592" max="14598" width="0" style="277" hidden="1" customWidth="1"/>
    <col min="14599" max="14838" width="9.28515625" style="277"/>
    <col min="14839" max="14839" width="42.42578125" style="277" customWidth="1"/>
    <col min="14840" max="14840" width="14.7109375" style="277" customWidth="1"/>
    <col min="14841" max="14841" width="0" style="277" hidden="1" customWidth="1"/>
    <col min="14842" max="14842" width="16.7109375" style="277" customWidth="1"/>
    <col min="14843" max="14843" width="18.42578125" style="277" customWidth="1"/>
    <col min="14844" max="14845" width="20.7109375" style="277" customWidth="1"/>
    <col min="14846" max="14846" width="18.28515625" style="277" customWidth="1"/>
    <col min="14847" max="14847" width="19.42578125" style="277" customWidth="1"/>
    <col min="14848" max="14854" width="0" style="277" hidden="1" customWidth="1"/>
    <col min="14855" max="15094" width="9.28515625" style="277"/>
    <col min="15095" max="15095" width="42.42578125" style="277" customWidth="1"/>
    <col min="15096" max="15096" width="14.7109375" style="277" customWidth="1"/>
    <col min="15097" max="15097" width="0" style="277" hidden="1" customWidth="1"/>
    <col min="15098" max="15098" width="16.7109375" style="277" customWidth="1"/>
    <col min="15099" max="15099" width="18.42578125" style="277" customWidth="1"/>
    <col min="15100" max="15101" width="20.7109375" style="277" customWidth="1"/>
    <col min="15102" max="15102" width="18.28515625" style="277" customWidth="1"/>
    <col min="15103" max="15103" width="19.42578125" style="277" customWidth="1"/>
    <col min="15104" max="15110" width="0" style="277" hidden="1" customWidth="1"/>
    <col min="15111" max="15350" width="9.28515625" style="277"/>
    <col min="15351" max="15351" width="42.42578125" style="277" customWidth="1"/>
    <col min="15352" max="15352" width="14.7109375" style="277" customWidth="1"/>
    <col min="15353" max="15353" width="0" style="277" hidden="1" customWidth="1"/>
    <col min="15354" max="15354" width="16.7109375" style="277" customWidth="1"/>
    <col min="15355" max="15355" width="18.42578125" style="277" customWidth="1"/>
    <col min="15356" max="15357" width="20.7109375" style="277" customWidth="1"/>
    <col min="15358" max="15358" width="18.28515625" style="277" customWidth="1"/>
    <col min="15359" max="15359" width="19.42578125" style="277" customWidth="1"/>
    <col min="15360" max="15366" width="0" style="277" hidden="1" customWidth="1"/>
    <col min="15367" max="15606" width="9.28515625" style="277"/>
    <col min="15607" max="15607" width="42.42578125" style="277" customWidth="1"/>
    <col min="15608" max="15608" width="14.7109375" style="277" customWidth="1"/>
    <col min="15609" max="15609" width="0" style="277" hidden="1" customWidth="1"/>
    <col min="15610" max="15610" width="16.7109375" style="277" customWidth="1"/>
    <col min="15611" max="15611" width="18.42578125" style="277" customWidth="1"/>
    <col min="15612" max="15613" width="20.7109375" style="277" customWidth="1"/>
    <col min="15614" max="15614" width="18.28515625" style="277" customWidth="1"/>
    <col min="15615" max="15615" width="19.42578125" style="277" customWidth="1"/>
    <col min="15616" max="15622" width="0" style="277" hidden="1" customWidth="1"/>
    <col min="15623" max="15862" width="9.28515625" style="277"/>
    <col min="15863" max="15863" width="42.42578125" style="277" customWidth="1"/>
    <col min="15864" max="15864" width="14.7109375" style="277" customWidth="1"/>
    <col min="15865" max="15865" width="0" style="277" hidden="1" customWidth="1"/>
    <col min="15866" max="15866" width="16.7109375" style="277" customWidth="1"/>
    <col min="15867" max="15867" width="18.42578125" style="277" customWidth="1"/>
    <col min="15868" max="15869" width="20.7109375" style="277" customWidth="1"/>
    <col min="15870" max="15870" width="18.28515625" style="277" customWidth="1"/>
    <col min="15871" max="15871" width="19.42578125" style="277" customWidth="1"/>
    <col min="15872" max="15878" width="0" style="277" hidden="1" customWidth="1"/>
    <col min="15879" max="16118" width="9.28515625" style="277"/>
    <col min="16119" max="16119" width="42.42578125" style="277" customWidth="1"/>
    <col min="16120" max="16120" width="14.7109375" style="277" customWidth="1"/>
    <col min="16121" max="16121" width="0" style="277" hidden="1" customWidth="1"/>
    <col min="16122" max="16122" width="16.7109375" style="277" customWidth="1"/>
    <col min="16123" max="16123" width="18.42578125" style="277" customWidth="1"/>
    <col min="16124" max="16125" width="20.7109375" style="277" customWidth="1"/>
    <col min="16126" max="16126" width="18.28515625" style="277" customWidth="1"/>
    <col min="16127" max="16127" width="19.42578125" style="277" customWidth="1"/>
    <col min="16128" max="16134" width="0" style="277" hidden="1" customWidth="1"/>
    <col min="16135" max="16376" width="9.28515625" style="277"/>
    <col min="16377" max="16384" width="9.28515625" style="277" customWidth="1"/>
  </cols>
  <sheetData>
    <row r="1" spans="1:8" ht="28.15" customHeight="1" x14ac:dyDescent="0.25">
      <c r="A1" s="330" t="s">
        <v>225</v>
      </c>
      <c r="B1" s="330"/>
      <c r="C1" s="330"/>
      <c r="D1" s="330"/>
      <c r="E1" s="330"/>
      <c r="F1" s="330"/>
      <c r="G1" s="330"/>
      <c r="H1" s="330"/>
    </row>
    <row r="2" spans="1:8" ht="13.9" customHeight="1" x14ac:dyDescent="0.25">
      <c r="A2" s="330" t="s">
        <v>156</v>
      </c>
      <c r="B2" s="330"/>
      <c r="C2" s="330"/>
      <c r="D2" s="330"/>
      <c r="E2" s="330"/>
      <c r="F2" s="330"/>
      <c r="G2" s="330"/>
      <c r="H2" s="330"/>
    </row>
    <row r="3" spans="1:8" ht="15" x14ac:dyDescent="0.25">
      <c r="A3" s="333" t="s">
        <v>412</v>
      </c>
      <c r="B3" s="333"/>
      <c r="C3" s="333"/>
      <c r="D3" s="333"/>
      <c r="E3" s="278"/>
      <c r="F3" s="278"/>
      <c r="G3" s="279"/>
      <c r="H3" s="279"/>
    </row>
    <row r="4" spans="1:8" ht="16.5" customHeight="1" x14ac:dyDescent="0.2">
      <c r="A4" s="331" t="s">
        <v>205</v>
      </c>
      <c r="B4" s="331"/>
      <c r="C4" s="331"/>
      <c r="D4" s="331"/>
      <c r="E4" s="331"/>
      <c r="F4" s="331"/>
      <c r="G4" s="280"/>
      <c r="H4" s="281"/>
    </row>
    <row r="5" spans="1:8" s="283" customFormat="1" ht="17.25" hidden="1" customHeight="1" thickBot="1" x14ac:dyDescent="0.25">
      <c r="A5" s="282"/>
      <c r="B5" s="282"/>
      <c r="C5" s="282"/>
      <c r="D5" s="282"/>
      <c r="E5" s="282"/>
      <c r="F5" s="282"/>
      <c r="G5" s="277"/>
      <c r="H5" s="277"/>
    </row>
    <row r="6" spans="1:8" s="283" customFormat="1" ht="15" x14ac:dyDescent="0.2">
      <c r="A6" s="327" t="s">
        <v>211</v>
      </c>
      <c r="B6" s="327"/>
      <c r="C6" s="327"/>
      <c r="D6" s="327"/>
      <c r="E6" s="327"/>
      <c r="F6" s="327"/>
      <c r="G6" s="327"/>
      <c r="H6" s="284"/>
    </row>
    <row r="7" spans="1:8" s="283" customFormat="1" ht="15" x14ac:dyDescent="0.2">
      <c r="A7" s="327" t="s">
        <v>201</v>
      </c>
      <c r="B7" s="327"/>
      <c r="C7" s="327"/>
      <c r="D7" s="327"/>
      <c r="E7" s="327"/>
      <c r="F7" s="327"/>
      <c r="G7" s="327"/>
      <c r="H7" s="284"/>
    </row>
    <row r="8" spans="1:8" s="283" customFormat="1" ht="28.5" x14ac:dyDescent="0.2">
      <c r="A8" s="285" t="s">
        <v>208</v>
      </c>
      <c r="B8" s="285" t="s">
        <v>213</v>
      </c>
      <c r="C8" s="285" t="s">
        <v>214</v>
      </c>
      <c r="D8" s="285" t="s">
        <v>215</v>
      </c>
      <c r="E8" s="285" t="s">
        <v>32</v>
      </c>
      <c r="F8" s="285" t="s">
        <v>216</v>
      </c>
      <c r="G8" s="285" t="s">
        <v>217</v>
      </c>
      <c r="H8" s="286"/>
    </row>
    <row r="9" spans="1:8" s="283" customFormat="1" ht="108" customHeight="1" x14ac:dyDescent="0.2">
      <c r="A9" s="285">
        <v>1</v>
      </c>
      <c r="B9" s="287" t="s">
        <v>410</v>
      </c>
      <c r="C9" s="285">
        <v>25194</v>
      </c>
      <c r="D9" s="285" t="s">
        <v>226</v>
      </c>
      <c r="E9" s="288">
        <v>12</v>
      </c>
      <c r="F9" s="289">
        <f>'VI - Demonstrativo final-REAL'!D63</f>
        <v>140447.61484917067</v>
      </c>
      <c r="G9" s="289">
        <f>F9*12</f>
        <v>1685371.378190048</v>
      </c>
      <c r="H9" s="290"/>
    </row>
    <row r="10" spans="1:8" s="293" customFormat="1" ht="14.65" customHeight="1" x14ac:dyDescent="0.2">
      <c r="A10" s="336" t="s">
        <v>227</v>
      </c>
      <c r="B10" s="336"/>
      <c r="C10" s="336"/>
      <c r="D10" s="336"/>
      <c r="E10" s="336"/>
      <c r="F10" s="291">
        <f>F9</f>
        <v>140447.61484917067</v>
      </c>
      <c r="G10" s="292">
        <f>SUM(G9:G9)</f>
        <v>1685371.378190048</v>
      </c>
      <c r="H10" s="290"/>
    </row>
    <row r="11" spans="1:8" ht="16.899999999999999" customHeight="1" x14ac:dyDescent="0.2">
      <c r="A11" s="294"/>
      <c r="B11" s="295"/>
      <c r="C11" s="295"/>
      <c r="D11" s="296"/>
      <c r="E11" s="297"/>
      <c r="F11" s="297"/>
      <c r="G11" s="283"/>
      <c r="H11" s="283"/>
    </row>
    <row r="12" spans="1:8" ht="31.5" customHeight="1" x14ac:dyDescent="0.2">
      <c r="A12" s="329" t="s">
        <v>157</v>
      </c>
      <c r="B12" s="329"/>
      <c r="C12" s="329"/>
      <c r="D12" s="329"/>
      <c r="E12" s="329"/>
      <c r="F12" s="329"/>
      <c r="G12" s="329"/>
      <c r="H12" s="329"/>
    </row>
    <row r="13" spans="1:8" ht="13.5" customHeight="1" x14ac:dyDescent="0.2">
      <c r="A13" s="298"/>
      <c r="B13" s="298"/>
      <c r="C13" s="298"/>
      <c r="D13" s="298"/>
      <c r="E13" s="298"/>
      <c r="F13" s="298"/>
      <c r="G13" s="283"/>
      <c r="H13" s="283"/>
    </row>
    <row r="14" spans="1:8" x14ac:dyDescent="0.2">
      <c r="A14" s="334" t="s">
        <v>155</v>
      </c>
      <c r="B14" s="334"/>
      <c r="C14" s="334"/>
      <c r="D14" s="334"/>
      <c r="E14" s="334"/>
      <c r="F14" s="334"/>
      <c r="G14" s="334"/>
      <c r="H14" s="334"/>
    </row>
    <row r="15" spans="1:8" s="299" customFormat="1" ht="15" customHeight="1" x14ac:dyDescent="0.2">
      <c r="A15" s="335" t="s">
        <v>210</v>
      </c>
      <c r="B15" s="335"/>
      <c r="C15" s="332" t="s">
        <v>151</v>
      </c>
      <c r="D15" s="332"/>
      <c r="E15" s="332" t="s">
        <v>153</v>
      </c>
      <c r="F15" s="332"/>
      <c r="G15" s="332" t="s">
        <v>154</v>
      </c>
      <c r="H15" s="332"/>
    </row>
    <row r="16" spans="1:8" s="299" customFormat="1" ht="28.5" customHeight="1" x14ac:dyDescent="0.2">
      <c r="A16" s="335"/>
      <c r="B16" s="335"/>
      <c r="C16" s="300" t="s">
        <v>152</v>
      </c>
      <c r="D16" s="300" t="s">
        <v>149</v>
      </c>
      <c r="E16" s="300" t="s">
        <v>152</v>
      </c>
      <c r="F16" s="300" t="s">
        <v>149</v>
      </c>
      <c r="G16" s="300" t="s">
        <v>152</v>
      </c>
      <c r="H16" s="300" t="s">
        <v>149</v>
      </c>
    </row>
    <row r="17" spans="1:8" s="299" customFormat="1" ht="28.5" customHeight="1" x14ac:dyDescent="0.2">
      <c r="A17" s="328" t="s">
        <v>150</v>
      </c>
      <c r="B17" s="328"/>
      <c r="C17" s="301">
        <f>F10</f>
        <v>140447.61484917067</v>
      </c>
      <c r="D17" s="301">
        <f>C17*12</f>
        <v>1685371.378190048</v>
      </c>
      <c r="E17" s="302">
        <f>C17*0.94</f>
        <v>132020.75795822043</v>
      </c>
      <c r="F17" s="303">
        <f>E17*12</f>
        <v>1584249.0954986452</v>
      </c>
      <c r="G17" s="301">
        <f>C17*0.9</f>
        <v>126402.85336425361</v>
      </c>
      <c r="H17" s="301">
        <f>G17*12</f>
        <v>1516834.2403710433</v>
      </c>
    </row>
    <row r="18" spans="1:8" ht="28.5" customHeight="1" x14ac:dyDescent="0.2">
      <c r="A18" s="304"/>
      <c r="B18" s="277"/>
      <c r="C18" s="277"/>
      <c r="D18" s="277"/>
      <c r="E18" s="277"/>
      <c r="F18" s="277"/>
    </row>
    <row r="19" spans="1:8" ht="15" x14ac:dyDescent="0.2">
      <c r="A19" s="305"/>
      <c r="B19" s="277"/>
      <c r="C19" s="277" t="s">
        <v>419</v>
      </c>
      <c r="D19" s="277"/>
      <c r="E19" s="277"/>
      <c r="F19" s="277"/>
    </row>
    <row r="20" spans="1:8" ht="32.25" customHeight="1" x14ac:dyDescent="0.2">
      <c r="B20" s="277"/>
      <c r="C20" s="277"/>
      <c r="D20" s="277"/>
      <c r="E20" s="277"/>
      <c r="F20" s="277"/>
    </row>
    <row r="21" spans="1:8" ht="13.9" customHeight="1" x14ac:dyDescent="0.2">
      <c r="B21" s="277"/>
      <c r="C21" s="277"/>
      <c r="D21" s="277"/>
      <c r="E21" s="277"/>
      <c r="F21" s="277"/>
    </row>
    <row r="22" spans="1:8" x14ac:dyDescent="0.2">
      <c r="B22" s="306"/>
      <c r="C22" s="306"/>
      <c r="D22" s="306"/>
      <c r="E22" s="306"/>
      <c r="F22" s="306"/>
      <c r="G22" s="307"/>
      <c r="H22" s="307"/>
    </row>
    <row r="104" spans="8:8" s="277" customFormat="1" x14ac:dyDescent="0.2">
      <c r="H104" s="308"/>
    </row>
  </sheetData>
  <mergeCells count="14">
    <mergeCell ref="A6:G6"/>
    <mergeCell ref="A7:G7"/>
    <mergeCell ref="A17:B17"/>
    <mergeCell ref="A12:H12"/>
    <mergeCell ref="A1:H1"/>
    <mergeCell ref="A2:H2"/>
    <mergeCell ref="A4:F4"/>
    <mergeCell ref="G15:H15"/>
    <mergeCell ref="C15:D15"/>
    <mergeCell ref="E15:F15"/>
    <mergeCell ref="A3:D3"/>
    <mergeCell ref="A14:H14"/>
    <mergeCell ref="A15:B16"/>
    <mergeCell ref="A10:E10"/>
  </mergeCells>
  <printOptions horizontalCentered="1"/>
  <pageMargins left="0.59055118110236227" right="0.98425196850393704" top="1.4566929133858268" bottom="0.78740157480314965" header="0.51181102362204722" footer="0.51181102362204722"/>
  <pageSetup paperSize="9" scale="89" fitToHeight="0" orientation="landscape" r:id="rId1"/>
  <headerFooter>
    <oddHeader>&amp;CMINISTERIO DA EDUCAÇAO
SECRETARIA DE EDUCAÇAO PROFISSIONAL E TECNOLOGICA
INSTITUTO FEDERAL DE EDUCAÇÃO, CIÊNCIA E TECNOLOGIA DE RORAIMA
CAMPUS BOA VISTA</oddHeader>
    <oddFooter>&amp;L&amp;D&amp;C&amp;Z&amp;F&amp;RPágina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sheetPr>
  <dimension ref="A1:L175"/>
  <sheetViews>
    <sheetView view="pageBreakPreview" zoomScaleNormal="80" zoomScaleSheetLayoutView="100" workbookViewId="0">
      <selection activeCell="A63" sqref="A63:I63"/>
    </sheetView>
  </sheetViews>
  <sheetFormatPr defaultColWidth="9.28515625" defaultRowHeight="12.75" x14ac:dyDescent="0.2"/>
  <cols>
    <col min="1" max="1" width="10" style="13" bestFit="1" customWidth="1"/>
    <col min="2" max="2" width="9.28515625" style="13"/>
    <col min="3" max="3" width="12" style="13" bestFit="1" customWidth="1"/>
    <col min="4" max="4" width="9.28515625" style="13" customWidth="1"/>
    <col min="5" max="5" width="14.140625" style="13" bestFit="1" customWidth="1"/>
    <col min="6" max="6" width="15.7109375" style="13" bestFit="1" customWidth="1"/>
    <col min="7" max="7" width="16.28515625" style="13" customWidth="1"/>
    <col min="8" max="8" width="11.28515625" style="13" customWidth="1"/>
    <col min="9" max="9" width="13.28515625" style="13" customWidth="1"/>
    <col min="10" max="10" width="11.28515625" style="13" customWidth="1"/>
    <col min="11" max="11" width="10.28515625" style="13" customWidth="1"/>
    <col min="12" max="12" width="15.7109375" style="13" customWidth="1"/>
    <col min="13" max="13" width="9.5703125" style="13" bestFit="1" customWidth="1"/>
    <col min="14" max="16384" width="9.28515625" style="13"/>
  </cols>
  <sheetData>
    <row r="1" spans="1:9" x14ac:dyDescent="0.2">
      <c r="A1" s="466" t="s">
        <v>202</v>
      </c>
      <c r="B1" s="466"/>
      <c r="C1" s="466"/>
      <c r="D1" s="466"/>
      <c r="E1" s="466"/>
      <c r="F1" s="466"/>
      <c r="G1" s="466"/>
      <c r="H1" s="466"/>
      <c r="I1" s="466"/>
    </row>
    <row r="2" spans="1:9" x14ac:dyDescent="0.2">
      <c r="A2" s="61" t="s">
        <v>412</v>
      </c>
      <c r="B2" s="61"/>
      <c r="C2" s="61"/>
      <c r="D2" s="61"/>
      <c r="E2" s="61"/>
      <c r="F2" s="61"/>
      <c r="G2" s="61"/>
      <c r="H2" s="61"/>
      <c r="I2" s="61"/>
    </row>
    <row r="3" spans="1:9" x14ac:dyDescent="0.2">
      <c r="A3" s="61" t="s">
        <v>138</v>
      </c>
      <c r="B3" s="61"/>
      <c r="C3" s="61"/>
      <c r="D3" s="61"/>
      <c r="E3" s="61"/>
      <c r="F3" s="61"/>
      <c r="G3" s="61"/>
      <c r="H3" s="61"/>
      <c r="I3" s="61"/>
    </row>
    <row r="4" spans="1:9" x14ac:dyDescent="0.2">
      <c r="A4" s="199" t="s">
        <v>209</v>
      </c>
      <c r="B4" s="199"/>
      <c r="C4" s="199"/>
      <c r="D4" s="199"/>
      <c r="E4" s="199"/>
      <c r="F4" s="199"/>
      <c r="G4" s="199"/>
      <c r="H4" s="61"/>
      <c r="I4" s="61"/>
    </row>
    <row r="5" spans="1:9" x14ac:dyDescent="0.2">
      <c r="A5" s="467" t="s">
        <v>148</v>
      </c>
      <c r="B5" s="467"/>
      <c r="C5" s="467"/>
      <c r="D5" s="467"/>
      <c r="E5" s="467"/>
      <c r="F5" s="467"/>
      <c r="G5" s="467"/>
      <c r="H5" s="61"/>
      <c r="I5" s="61"/>
    </row>
    <row r="6" spans="1:9" x14ac:dyDescent="0.2">
      <c r="A6" s="468" t="s">
        <v>33</v>
      </c>
      <c r="B6" s="468"/>
      <c r="C6" s="468"/>
      <c r="D6" s="468"/>
      <c r="E6" s="468"/>
      <c r="F6" s="468"/>
      <c r="G6" s="468"/>
      <c r="H6" s="468"/>
      <c r="I6" s="468"/>
    </row>
    <row r="7" spans="1:9" x14ac:dyDescent="0.2">
      <c r="A7" s="62" t="s">
        <v>34</v>
      </c>
      <c r="B7" s="361" t="s">
        <v>35</v>
      </c>
      <c r="C7" s="361"/>
      <c r="D7" s="361"/>
      <c r="E7" s="361"/>
      <c r="F7" s="361"/>
      <c r="G7" s="361"/>
      <c r="H7" s="361"/>
      <c r="I7" s="63"/>
    </row>
    <row r="8" spans="1:9" x14ac:dyDescent="0.2">
      <c r="A8" s="62" t="s">
        <v>36</v>
      </c>
      <c r="B8" s="361" t="s">
        <v>37</v>
      </c>
      <c r="C8" s="361"/>
      <c r="D8" s="361"/>
      <c r="E8" s="361"/>
      <c r="F8" s="361"/>
      <c r="G8" s="361"/>
      <c r="H8" s="361"/>
      <c r="I8" s="200" t="s">
        <v>139</v>
      </c>
    </row>
    <row r="9" spans="1:9" x14ac:dyDescent="0.2">
      <c r="A9" s="62" t="s">
        <v>38</v>
      </c>
      <c r="B9" s="361" t="s">
        <v>203</v>
      </c>
      <c r="C9" s="361"/>
      <c r="D9" s="361"/>
      <c r="E9" s="361"/>
      <c r="F9" s="361"/>
      <c r="G9" s="361"/>
      <c r="H9" s="361"/>
      <c r="I9" s="62" t="s">
        <v>416</v>
      </c>
    </row>
    <row r="10" spans="1:9" x14ac:dyDescent="0.2">
      <c r="A10" s="62" t="s">
        <v>39</v>
      </c>
      <c r="B10" s="361" t="s">
        <v>40</v>
      </c>
      <c r="C10" s="361"/>
      <c r="D10" s="361"/>
      <c r="E10" s="361"/>
      <c r="F10" s="361"/>
      <c r="G10" s="361"/>
      <c r="H10" s="361"/>
      <c r="I10" s="62">
        <v>12</v>
      </c>
    </row>
    <row r="11" spans="1:9" x14ac:dyDescent="0.2">
      <c r="A11" s="65"/>
      <c r="B11" s="66"/>
      <c r="C11" s="66"/>
      <c r="D11" s="66"/>
      <c r="E11" s="66"/>
      <c r="F11" s="66"/>
      <c r="G11" s="66"/>
      <c r="H11" s="65"/>
      <c r="I11" s="65"/>
    </row>
    <row r="12" spans="1:9" x14ac:dyDescent="0.2">
      <c r="A12" s="468" t="s">
        <v>41</v>
      </c>
      <c r="B12" s="468"/>
      <c r="C12" s="468"/>
      <c r="D12" s="468"/>
      <c r="E12" s="468"/>
      <c r="F12" s="468"/>
      <c r="G12" s="468"/>
      <c r="H12" s="468"/>
      <c r="I12" s="468"/>
    </row>
    <row r="13" spans="1:9" x14ac:dyDescent="0.2">
      <c r="A13" s="380" t="s">
        <v>42</v>
      </c>
      <c r="B13" s="380"/>
      <c r="C13" s="380" t="s">
        <v>43</v>
      </c>
      <c r="D13" s="380"/>
      <c r="E13" s="380" t="s">
        <v>44</v>
      </c>
      <c r="F13" s="380"/>
      <c r="G13" s="380"/>
      <c r="H13" s="380"/>
      <c r="I13" s="380"/>
    </row>
    <row r="14" spans="1:9" x14ac:dyDescent="0.2">
      <c r="A14" s="380" t="s">
        <v>45</v>
      </c>
      <c r="B14" s="380"/>
      <c r="C14" s="380" t="s">
        <v>46</v>
      </c>
      <c r="D14" s="380"/>
      <c r="E14" s="380">
        <v>28</v>
      </c>
      <c r="F14" s="380"/>
      <c r="G14" s="380"/>
      <c r="H14" s="380"/>
      <c r="I14" s="380"/>
    </row>
    <row r="15" spans="1:9" x14ac:dyDescent="0.2">
      <c r="A15" s="65"/>
      <c r="B15" s="66"/>
      <c r="C15" s="66"/>
      <c r="D15" s="66"/>
      <c r="E15" s="66"/>
      <c r="F15" s="66"/>
      <c r="G15" s="66"/>
      <c r="H15" s="65"/>
      <c r="I15" s="65"/>
    </row>
    <row r="16" spans="1:9" x14ac:dyDescent="0.2">
      <c r="A16" s="468" t="s">
        <v>47</v>
      </c>
      <c r="B16" s="468"/>
      <c r="C16" s="468"/>
      <c r="D16" s="468"/>
      <c r="E16" s="468"/>
      <c r="F16" s="468"/>
      <c r="G16" s="468"/>
      <c r="H16" s="468"/>
      <c r="I16" s="468"/>
    </row>
    <row r="17" spans="1:10" ht="25.5" x14ac:dyDescent="0.2">
      <c r="A17" s="62">
        <v>1</v>
      </c>
      <c r="B17" s="361" t="s">
        <v>48</v>
      </c>
      <c r="C17" s="361"/>
      <c r="D17" s="361"/>
      <c r="E17" s="361"/>
      <c r="F17" s="361"/>
      <c r="G17" s="361"/>
      <c r="H17" s="361"/>
      <c r="I17" s="68" t="s">
        <v>140</v>
      </c>
    </row>
    <row r="18" spans="1:10" x14ac:dyDescent="0.2">
      <c r="A18" s="62">
        <v>2</v>
      </c>
      <c r="B18" s="361" t="s">
        <v>49</v>
      </c>
      <c r="C18" s="361"/>
      <c r="D18" s="361"/>
      <c r="E18" s="361"/>
      <c r="F18" s="361"/>
      <c r="G18" s="361"/>
      <c r="H18" s="361"/>
      <c r="I18" s="62" t="s">
        <v>141</v>
      </c>
    </row>
    <row r="19" spans="1:10" x14ac:dyDescent="0.2">
      <c r="A19" s="62">
        <v>3</v>
      </c>
      <c r="B19" s="361" t="s">
        <v>50</v>
      </c>
      <c r="C19" s="361"/>
      <c r="D19" s="361"/>
      <c r="E19" s="361"/>
      <c r="F19" s="361"/>
      <c r="G19" s="361"/>
      <c r="H19" s="361"/>
      <c r="I19" s="69">
        <v>1240</v>
      </c>
      <c r="J19" s="70"/>
    </row>
    <row r="20" spans="1:10" x14ac:dyDescent="0.2">
      <c r="A20" s="62">
        <v>4</v>
      </c>
      <c r="B20" s="361" t="s">
        <v>51</v>
      </c>
      <c r="C20" s="361"/>
      <c r="D20" s="361"/>
      <c r="E20" s="361"/>
      <c r="F20" s="361"/>
      <c r="G20" s="361"/>
      <c r="H20" s="361"/>
      <c r="I20" s="71" t="s">
        <v>12</v>
      </c>
    </row>
    <row r="21" spans="1:10" ht="39.6" customHeight="1" x14ac:dyDescent="0.2">
      <c r="A21" s="16">
        <v>5</v>
      </c>
      <c r="B21" s="461" t="s">
        <v>402</v>
      </c>
      <c r="C21" s="462"/>
      <c r="D21" s="462"/>
      <c r="E21" s="462"/>
      <c r="F21" s="462"/>
      <c r="G21" s="462"/>
      <c r="H21" s="463"/>
      <c r="I21" s="201">
        <v>26</v>
      </c>
    </row>
    <row r="22" spans="1:10" x14ac:dyDescent="0.2">
      <c r="A22" s="62">
        <v>6</v>
      </c>
      <c r="B22" s="361" t="s">
        <v>52</v>
      </c>
      <c r="C22" s="361"/>
      <c r="D22" s="361"/>
      <c r="E22" s="361"/>
      <c r="F22" s="361"/>
      <c r="G22" s="361"/>
      <c r="H22" s="361"/>
      <c r="I22" s="63">
        <v>44562</v>
      </c>
    </row>
    <row r="23" spans="1:10" x14ac:dyDescent="0.2">
      <c r="A23" s="72"/>
      <c r="B23" s="73"/>
      <c r="C23" s="73"/>
      <c r="D23" s="73"/>
      <c r="E23" s="73"/>
      <c r="F23" s="73"/>
      <c r="G23" s="73"/>
      <c r="H23" s="73"/>
      <c r="I23" s="74"/>
    </row>
    <row r="24" spans="1:10" ht="21.75" customHeight="1" x14ac:dyDescent="0.2">
      <c r="A24" s="469" t="s">
        <v>171</v>
      </c>
      <c r="B24" s="470"/>
      <c r="C24" s="470"/>
      <c r="D24" s="470"/>
      <c r="E24" s="470"/>
      <c r="F24" s="470"/>
      <c r="G24" s="470"/>
      <c r="H24" s="470"/>
      <c r="I24" s="471"/>
    </row>
    <row r="25" spans="1:10" x14ac:dyDescent="0.2">
      <c r="A25" s="407" t="s">
        <v>53</v>
      </c>
      <c r="B25" s="407"/>
      <c r="C25" s="407"/>
      <c r="D25" s="407"/>
      <c r="E25" s="407"/>
      <c r="F25" s="407"/>
      <c r="G25" s="407"/>
      <c r="H25" s="407"/>
      <c r="I25" s="407"/>
    </row>
    <row r="26" spans="1:10" x14ac:dyDescent="0.2">
      <c r="A26" s="75">
        <v>1</v>
      </c>
      <c r="B26" s="379" t="s">
        <v>54</v>
      </c>
      <c r="C26" s="379"/>
      <c r="D26" s="379"/>
      <c r="E26" s="379"/>
      <c r="F26" s="379"/>
      <c r="G26" s="379"/>
      <c r="H26" s="75" t="s">
        <v>55</v>
      </c>
      <c r="I26" s="75" t="s">
        <v>56</v>
      </c>
    </row>
    <row r="27" spans="1:10" x14ac:dyDescent="0.2">
      <c r="A27" s="75" t="s">
        <v>34</v>
      </c>
      <c r="B27" s="361" t="s">
        <v>57</v>
      </c>
      <c r="C27" s="361"/>
      <c r="D27" s="361"/>
      <c r="E27" s="361"/>
      <c r="F27" s="361"/>
      <c r="G27" s="361"/>
      <c r="H27" s="17"/>
      <c r="I27" s="77">
        <v>1240</v>
      </c>
    </row>
    <row r="28" spans="1:10" x14ac:dyDescent="0.2">
      <c r="A28" s="75" t="s">
        <v>36</v>
      </c>
      <c r="B28" s="361" t="s">
        <v>58</v>
      </c>
      <c r="C28" s="361"/>
      <c r="D28" s="361"/>
      <c r="E28" s="361"/>
      <c r="F28" s="361"/>
      <c r="G28" s="361"/>
      <c r="H28" s="78"/>
      <c r="I28" s="77">
        <v>0</v>
      </c>
    </row>
    <row r="29" spans="1:10" x14ac:dyDescent="0.2">
      <c r="A29" s="75" t="s">
        <v>38</v>
      </c>
      <c r="B29" s="361" t="s">
        <v>59</v>
      </c>
      <c r="C29" s="361"/>
      <c r="D29" s="361"/>
      <c r="E29" s="361"/>
      <c r="F29" s="361"/>
      <c r="G29" s="361"/>
      <c r="H29" s="78"/>
      <c r="I29" s="77">
        <f>H29*I27</f>
        <v>0</v>
      </c>
    </row>
    <row r="30" spans="1:10" x14ac:dyDescent="0.2">
      <c r="A30" s="75" t="s">
        <v>39</v>
      </c>
      <c r="B30" s="361" t="s">
        <v>60</v>
      </c>
      <c r="C30" s="361"/>
      <c r="D30" s="361"/>
      <c r="E30" s="361"/>
      <c r="F30" s="361"/>
      <c r="G30" s="361"/>
      <c r="H30" s="78"/>
      <c r="I30" s="77">
        <v>0</v>
      </c>
    </row>
    <row r="31" spans="1:10" x14ac:dyDescent="0.2">
      <c r="A31" s="79" t="s">
        <v>61</v>
      </c>
      <c r="B31" s="361" t="s">
        <v>62</v>
      </c>
      <c r="C31" s="361"/>
      <c r="D31" s="361"/>
      <c r="E31" s="361"/>
      <c r="F31" s="361"/>
      <c r="G31" s="361"/>
      <c r="H31" s="80"/>
      <c r="I31" s="77">
        <v>0</v>
      </c>
    </row>
    <row r="32" spans="1:10" x14ac:dyDescent="0.2">
      <c r="A32" s="79" t="s">
        <v>63</v>
      </c>
      <c r="B32" s="361" t="s">
        <v>65</v>
      </c>
      <c r="C32" s="361"/>
      <c r="D32" s="361"/>
      <c r="E32" s="361"/>
      <c r="F32" s="361"/>
      <c r="G32" s="361"/>
      <c r="H32" s="78"/>
      <c r="I32" s="77">
        <v>0</v>
      </c>
    </row>
    <row r="33" spans="1:12" x14ac:dyDescent="0.2">
      <c r="A33" s="454" t="s">
        <v>66</v>
      </c>
      <c r="B33" s="455"/>
      <c r="C33" s="455"/>
      <c r="D33" s="455"/>
      <c r="E33" s="455"/>
      <c r="F33" s="455"/>
      <c r="G33" s="455"/>
      <c r="H33" s="456"/>
      <c r="I33" s="81">
        <f>SUM(I27:I32)</f>
        <v>1240</v>
      </c>
    </row>
    <row r="34" spans="1:12" x14ac:dyDescent="0.2">
      <c r="A34" s="460" t="s">
        <v>179</v>
      </c>
      <c r="B34" s="460"/>
      <c r="C34" s="460"/>
      <c r="D34" s="460"/>
      <c r="E34" s="460"/>
      <c r="F34" s="460"/>
      <c r="G34" s="460"/>
      <c r="H34" s="460"/>
      <c r="I34" s="460"/>
    </row>
    <row r="35" spans="1:12" x14ac:dyDescent="0.2">
      <c r="A35" s="82"/>
      <c r="B35" s="82"/>
      <c r="C35" s="82"/>
      <c r="D35" s="82"/>
      <c r="E35" s="82"/>
      <c r="F35" s="82"/>
      <c r="G35" s="82"/>
      <c r="H35" s="82"/>
      <c r="I35" s="83"/>
    </row>
    <row r="36" spans="1:12" x14ac:dyDescent="0.2">
      <c r="A36" s="407" t="s">
        <v>67</v>
      </c>
      <c r="B36" s="407"/>
      <c r="C36" s="407"/>
      <c r="D36" s="407"/>
      <c r="E36" s="407"/>
      <c r="F36" s="407"/>
      <c r="G36" s="407"/>
      <c r="H36" s="407"/>
      <c r="I36" s="407"/>
      <c r="J36" s="84"/>
    </row>
    <row r="37" spans="1:12" x14ac:dyDescent="0.2">
      <c r="A37" s="379" t="s">
        <v>68</v>
      </c>
      <c r="B37" s="379"/>
      <c r="C37" s="379"/>
      <c r="D37" s="379"/>
      <c r="E37" s="379"/>
      <c r="F37" s="379"/>
      <c r="G37" s="379"/>
      <c r="H37" s="75" t="s">
        <v>55</v>
      </c>
      <c r="I37" s="75" t="s">
        <v>56</v>
      </c>
      <c r="J37" s="84"/>
    </row>
    <row r="38" spans="1:12" x14ac:dyDescent="0.2">
      <c r="A38" s="75" t="s">
        <v>34</v>
      </c>
      <c r="B38" s="361" t="s">
        <v>385</v>
      </c>
      <c r="C38" s="361"/>
      <c r="D38" s="361"/>
      <c r="E38" s="361"/>
      <c r="F38" s="361"/>
      <c r="G38" s="361"/>
      <c r="H38" s="85">
        <v>8.3299999999999999E-2</v>
      </c>
      <c r="I38" s="8">
        <f>$I$33*H38</f>
        <v>103.292</v>
      </c>
      <c r="J38" s="87"/>
    </row>
    <row r="39" spans="1:12" ht="14.65" customHeight="1" x14ac:dyDescent="0.2">
      <c r="A39" s="75" t="s">
        <v>36</v>
      </c>
      <c r="B39" s="457" t="s">
        <v>386</v>
      </c>
      <c r="C39" s="458"/>
      <c r="D39" s="458"/>
      <c r="E39" s="458"/>
      <c r="F39" s="458"/>
      <c r="G39" s="459"/>
      <c r="H39" s="88">
        <v>0.121</v>
      </c>
      <c r="I39" s="8">
        <f>$I$33*H39</f>
        <v>150.04</v>
      </c>
      <c r="J39" s="202"/>
    </row>
    <row r="40" spans="1:12" x14ac:dyDescent="0.2">
      <c r="A40" s="379" t="s">
        <v>69</v>
      </c>
      <c r="B40" s="379"/>
      <c r="C40" s="379"/>
      <c r="D40" s="379"/>
      <c r="E40" s="379"/>
      <c r="F40" s="379"/>
      <c r="G40" s="379"/>
      <c r="H40" s="89">
        <f>TRUNC(SUM(H38:H39),4)</f>
        <v>0.20430000000000001</v>
      </c>
      <c r="I40" s="10">
        <f>SUM(I38:I39)</f>
        <v>253.33199999999999</v>
      </c>
      <c r="J40" s="84"/>
    </row>
    <row r="41" spans="1:12" x14ac:dyDescent="0.2">
      <c r="A41" s="82"/>
      <c r="B41" s="82"/>
      <c r="C41" s="82"/>
      <c r="D41" s="82"/>
      <c r="E41" s="82"/>
      <c r="F41" s="82"/>
      <c r="G41" s="82"/>
      <c r="H41" s="91"/>
      <c r="I41" s="92"/>
      <c r="J41" s="93"/>
      <c r="L41" s="94">
        <f>(1/3)/11</f>
        <v>3.03030303030303E-2</v>
      </c>
    </row>
    <row r="42" spans="1:12" ht="135.6" customHeight="1" x14ac:dyDescent="0.2">
      <c r="A42" s="433" t="s">
        <v>405</v>
      </c>
      <c r="B42" s="449"/>
      <c r="C42" s="449"/>
      <c r="D42" s="449"/>
      <c r="E42" s="449"/>
      <c r="F42" s="449"/>
      <c r="G42" s="449"/>
      <c r="H42" s="449"/>
      <c r="I42" s="450"/>
      <c r="J42" s="84"/>
    </row>
    <row r="43" spans="1:12" x14ac:dyDescent="0.2">
      <c r="A43" s="82"/>
      <c r="B43" s="82"/>
      <c r="C43" s="82"/>
      <c r="D43" s="82"/>
      <c r="E43" s="82"/>
      <c r="F43" s="82"/>
      <c r="G43" s="82"/>
      <c r="H43" s="91"/>
      <c r="I43" s="92"/>
      <c r="J43" s="84"/>
    </row>
    <row r="44" spans="1:12" ht="33" customHeight="1" x14ac:dyDescent="0.2">
      <c r="A44" s="452" t="s">
        <v>180</v>
      </c>
      <c r="B44" s="453"/>
      <c r="C44" s="453"/>
      <c r="D44" s="453"/>
      <c r="E44" s="453"/>
      <c r="F44" s="453"/>
      <c r="G44" s="453"/>
      <c r="H44" s="453"/>
      <c r="I44" s="95">
        <f>I33+I40</f>
        <v>1493.3319999999999</v>
      </c>
      <c r="J44" s="84"/>
      <c r="L44" s="96"/>
    </row>
    <row r="45" spans="1:12" x14ac:dyDescent="0.2">
      <c r="A45" s="445" t="s">
        <v>70</v>
      </c>
      <c r="B45" s="445"/>
      <c r="C45" s="445"/>
      <c r="D45" s="445"/>
      <c r="E45" s="445"/>
      <c r="F45" s="445"/>
      <c r="G45" s="445"/>
      <c r="H45" s="97" t="s">
        <v>55</v>
      </c>
      <c r="I45" s="97" t="s">
        <v>56</v>
      </c>
      <c r="J45" s="84"/>
      <c r="K45" s="98"/>
      <c r="L45" s="96"/>
    </row>
    <row r="46" spans="1:12" x14ac:dyDescent="0.2">
      <c r="A46" s="75" t="s">
        <v>34</v>
      </c>
      <c r="B46" s="361" t="s">
        <v>71</v>
      </c>
      <c r="C46" s="361"/>
      <c r="D46" s="361"/>
      <c r="E46" s="361"/>
      <c r="F46" s="361"/>
      <c r="G46" s="361"/>
      <c r="H46" s="85">
        <v>0.2</v>
      </c>
      <c r="I46" s="8">
        <f>H46*$I$44</f>
        <v>298.66640000000001</v>
      </c>
      <c r="J46" s="99"/>
    </row>
    <row r="47" spans="1:12" x14ac:dyDescent="0.2">
      <c r="A47" s="75" t="s">
        <v>36</v>
      </c>
      <c r="B47" s="361" t="s">
        <v>72</v>
      </c>
      <c r="C47" s="361"/>
      <c r="D47" s="361"/>
      <c r="E47" s="361"/>
      <c r="F47" s="361"/>
      <c r="G47" s="361"/>
      <c r="H47" s="85">
        <v>2.5000000000000001E-2</v>
      </c>
      <c r="I47" s="8">
        <f t="shared" ref="I47:I53" si="0">H47*$I$44</f>
        <v>37.333300000000001</v>
      </c>
      <c r="J47" s="84"/>
    </row>
    <row r="48" spans="1:12" x14ac:dyDescent="0.2">
      <c r="A48" s="75" t="s">
        <v>38</v>
      </c>
      <c r="B48" s="361" t="s">
        <v>73</v>
      </c>
      <c r="C48" s="361"/>
      <c r="D48" s="361"/>
      <c r="E48" s="361"/>
      <c r="F48" s="361"/>
      <c r="G48" s="361"/>
      <c r="H48" s="85">
        <v>0.03</v>
      </c>
      <c r="I48" s="8">
        <f t="shared" si="0"/>
        <v>44.799959999999992</v>
      </c>
      <c r="J48" s="100"/>
    </row>
    <row r="49" spans="1:11" x14ac:dyDescent="0.2">
      <c r="A49" s="75" t="s">
        <v>39</v>
      </c>
      <c r="B49" s="361" t="s">
        <v>74</v>
      </c>
      <c r="C49" s="361"/>
      <c r="D49" s="361"/>
      <c r="E49" s="361"/>
      <c r="F49" s="361"/>
      <c r="G49" s="361"/>
      <c r="H49" s="85">
        <v>1.4999999999999999E-2</v>
      </c>
      <c r="I49" s="8">
        <f t="shared" si="0"/>
        <v>22.399979999999996</v>
      </c>
      <c r="J49" s="84"/>
    </row>
    <row r="50" spans="1:11" x14ac:dyDescent="0.2">
      <c r="A50" s="75" t="s">
        <v>61</v>
      </c>
      <c r="B50" s="361" t="s">
        <v>75</v>
      </c>
      <c r="C50" s="361"/>
      <c r="D50" s="361"/>
      <c r="E50" s="361"/>
      <c r="F50" s="361"/>
      <c r="G50" s="361"/>
      <c r="H50" s="85">
        <v>0.01</v>
      </c>
      <c r="I50" s="8">
        <f t="shared" si="0"/>
        <v>14.933319999999998</v>
      </c>
      <c r="J50" s="84"/>
    </row>
    <row r="51" spans="1:11" x14ac:dyDescent="0.2">
      <c r="A51" s="75" t="s">
        <v>63</v>
      </c>
      <c r="B51" s="361" t="s">
        <v>76</v>
      </c>
      <c r="C51" s="361"/>
      <c r="D51" s="361"/>
      <c r="E51" s="361"/>
      <c r="F51" s="361"/>
      <c r="G51" s="361"/>
      <c r="H51" s="85">
        <v>6.0000000000000001E-3</v>
      </c>
      <c r="I51" s="8">
        <f t="shared" si="0"/>
        <v>8.9599919999999997</v>
      </c>
      <c r="J51" s="84"/>
    </row>
    <row r="52" spans="1:11" x14ac:dyDescent="0.2">
      <c r="A52" s="75" t="s">
        <v>64</v>
      </c>
      <c r="B52" s="361" t="s">
        <v>77</v>
      </c>
      <c r="C52" s="361"/>
      <c r="D52" s="361"/>
      <c r="E52" s="361"/>
      <c r="F52" s="361"/>
      <c r="G52" s="361"/>
      <c r="H52" s="85">
        <v>2E-3</v>
      </c>
      <c r="I52" s="8">
        <f t="shared" si="0"/>
        <v>2.9866639999999998</v>
      </c>
      <c r="J52" s="84"/>
      <c r="K52" s="101"/>
    </row>
    <row r="53" spans="1:11" ht="13.5" customHeight="1" x14ac:dyDescent="0.2">
      <c r="A53" s="75" t="s">
        <v>78</v>
      </c>
      <c r="B53" s="361" t="s">
        <v>79</v>
      </c>
      <c r="C53" s="361"/>
      <c r="D53" s="361"/>
      <c r="E53" s="361"/>
      <c r="F53" s="361"/>
      <c r="G53" s="361"/>
      <c r="H53" s="85">
        <v>0.08</v>
      </c>
      <c r="I53" s="8">
        <f t="shared" si="0"/>
        <v>119.46655999999999</v>
      </c>
      <c r="J53" s="84"/>
      <c r="K53" s="101"/>
    </row>
    <row r="54" spans="1:11" x14ac:dyDescent="0.2">
      <c r="A54" s="451" t="s">
        <v>80</v>
      </c>
      <c r="B54" s="451"/>
      <c r="C54" s="451"/>
      <c r="D54" s="451"/>
      <c r="E54" s="451"/>
      <c r="F54" s="451"/>
      <c r="G54" s="451"/>
      <c r="H54" s="102">
        <f>SUM(H46:H53)</f>
        <v>0.36800000000000005</v>
      </c>
      <c r="I54" s="189">
        <f>TRUNC(SUM(I46:I53),2)</f>
        <v>549.54</v>
      </c>
      <c r="J54" s="84"/>
    </row>
    <row r="55" spans="1:11" ht="133.9" customHeight="1" x14ac:dyDescent="0.2">
      <c r="A55" s="464" t="s">
        <v>403</v>
      </c>
      <c r="B55" s="465"/>
      <c r="C55" s="465"/>
      <c r="D55" s="465"/>
      <c r="E55" s="465"/>
      <c r="F55" s="465"/>
      <c r="G55" s="465"/>
      <c r="H55" s="465"/>
      <c r="I55" s="465"/>
      <c r="J55" s="84"/>
    </row>
    <row r="56" spans="1:11" x14ac:dyDescent="0.2">
      <c r="A56" s="447"/>
      <c r="B56" s="447"/>
      <c r="C56" s="447"/>
      <c r="D56" s="447"/>
      <c r="E56" s="447"/>
      <c r="F56" s="447"/>
      <c r="G56" s="447"/>
      <c r="H56" s="447"/>
      <c r="I56" s="448"/>
      <c r="J56" s="84"/>
    </row>
    <row r="57" spans="1:11" x14ac:dyDescent="0.2">
      <c r="A57" s="445" t="s">
        <v>81</v>
      </c>
      <c r="B57" s="445"/>
      <c r="C57" s="445"/>
      <c r="D57" s="445"/>
      <c r="E57" s="445"/>
      <c r="F57" s="445"/>
      <c r="G57" s="445"/>
      <c r="H57" s="103"/>
      <c r="I57" s="97" t="s">
        <v>56</v>
      </c>
      <c r="J57" s="84"/>
    </row>
    <row r="58" spans="1:11" x14ac:dyDescent="0.2">
      <c r="A58" s="75" t="s">
        <v>34</v>
      </c>
      <c r="B58" s="390" t="s">
        <v>417</v>
      </c>
      <c r="C58" s="390"/>
      <c r="D58" s="390"/>
      <c r="E58" s="390"/>
      <c r="F58" s="390"/>
      <c r="G58" s="390"/>
      <c r="H58" s="62" t="s">
        <v>82</v>
      </c>
      <c r="I58" s="190">
        <f>4.5*2*26-I27*0.06</f>
        <v>159.60000000000002</v>
      </c>
      <c r="J58" s="84"/>
    </row>
    <row r="59" spans="1:11" x14ac:dyDescent="0.2">
      <c r="A59" s="75" t="s">
        <v>36</v>
      </c>
      <c r="B59" s="390" t="s">
        <v>418</v>
      </c>
      <c r="C59" s="390"/>
      <c r="D59" s="390"/>
      <c r="E59" s="390"/>
      <c r="F59" s="390"/>
      <c r="G59" s="390"/>
      <c r="H59" s="62" t="s">
        <v>82</v>
      </c>
      <c r="I59" s="104">
        <f>19.5*22-0.25</f>
        <v>428.75</v>
      </c>
      <c r="J59" s="70"/>
    </row>
    <row r="60" spans="1:11" x14ac:dyDescent="0.2">
      <c r="A60" s="75" t="s">
        <v>38</v>
      </c>
      <c r="B60" s="390" t="s">
        <v>83</v>
      </c>
      <c r="C60" s="390"/>
      <c r="D60" s="390"/>
      <c r="E60" s="390"/>
      <c r="F60" s="390"/>
      <c r="G60" s="390"/>
      <c r="H60" s="62" t="s">
        <v>82</v>
      </c>
      <c r="I60" s="104">
        <v>0</v>
      </c>
      <c r="J60" s="84"/>
    </row>
    <row r="61" spans="1:11" x14ac:dyDescent="0.2">
      <c r="A61" s="75" t="s">
        <v>39</v>
      </c>
      <c r="B61" s="390" t="s">
        <v>65</v>
      </c>
      <c r="C61" s="390"/>
      <c r="D61" s="390"/>
      <c r="E61" s="390"/>
      <c r="F61" s="390"/>
      <c r="G61" s="390"/>
      <c r="H61" s="62" t="s">
        <v>82</v>
      </c>
      <c r="I61" s="104">
        <v>0</v>
      </c>
      <c r="J61" s="84"/>
    </row>
    <row r="62" spans="1:11" x14ac:dyDescent="0.2">
      <c r="A62" s="379" t="s">
        <v>84</v>
      </c>
      <c r="B62" s="379"/>
      <c r="C62" s="379"/>
      <c r="D62" s="379"/>
      <c r="E62" s="379"/>
      <c r="F62" s="379"/>
      <c r="G62" s="379"/>
      <c r="H62" s="379"/>
      <c r="I62" s="10">
        <f>TRUNC(SUM(I58:I61),2)</f>
        <v>588.35</v>
      </c>
      <c r="J62" s="84"/>
    </row>
    <row r="63" spans="1:11" ht="46.5" customHeight="1" x14ac:dyDescent="0.2">
      <c r="A63" s="442" t="s">
        <v>382</v>
      </c>
      <c r="B63" s="443"/>
      <c r="C63" s="443"/>
      <c r="D63" s="443"/>
      <c r="E63" s="443"/>
      <c r="F63" s="443"/>
      <c r="G63" s="443"/>
      <c r="H63" s="443"/>
      <c r="I63" s="444"/>
      <c r="J63" s="84"/>
    </row>
    <row r="64" spans="1:11" x14ac:dyDescent="0.2">
      <c r="A64" s="106"/>
      <c r="B64" s="106"/>
      <c r="C64" s="106"/>
      <c r="D64" s="106"/>
      <c r="E64" s="106"/>
      <c r="F64" s="106"/>
      <c r="G64" s="106"/>
      <c r="H64" s="106"/>
      <c r="I64" s="106"/>
      <c r="J64" s="84"/>
    </row>
    <row r="65" spans="1:10" x14ac:dyDescent="0.2">
      <c r="A65" s="445" t="s">
        <v>85</v>
      </c>
      <c r="B65" s="445"/>
      <c r="C65" s="445"/>
      <c r="D65" s="445"/>
      <c r="E65" s="445"/>
      <c r="F65" s="445"/>
      <c r="G65" s="445"/>
      <c r="H65" s="445"/>
      <c r="I65" s="445"/>
      <c r="J65" s="84"/>
    </row>
    <row r="66" spans="1:10" x14ac:dyDescent="0.2">
      <c r="A66" s="446" t="s">
        <v>86</v>
      </c>
      <c r="B66" s="446"/>
      <c r="C66" s="446"/>
      <c r="D66" s="446"/>
      <c r="E66" s="446"/>
      <c r="F66" s="446"/>
      <c r="G66" s="446"/>
      <c r="H66" s="446"/>
      <c r="I66" s="75" t="s">
        <v>56</v>
      </c>
      <c r="J66" s="84"/>
    </row>
    <row r="67" spans="1:10" x14ac:dyDescent="0.2">
      <c r="A67" s="107" t="s">
        <v>87</v>
      </c>
      <c r="B67" s="361" t="s">
        <v>88</v>
      </c>
      <c r="C67" s="361"/>
      <c r="D67" s="361"/>
      <c r="E67" s="361"/>
      <c r="F67" s="361"/>
      <c r="G67" s="361"/>
      <c r="H67" s="361"/>
      <c r="I67" s="8">
        <f>I40</f>
        <v>253.33199999999999</v>
      </c>
      <c r="J67" s="84"/>
    </row>
    <row r="68" spans="1:10" x14ac:dyDescent="0.2">
      <c r="A68" s="108" t="s">
        <v>89</v>
      </c>
      <c r="B68" s="361" t="s">
        <v>90</v>
      </c>
      <c r="C68" s="361"/>
      <c r="D68" s="361"/>
      <c r="E68" s="361"/>
      <c r="F68" s="361"/>
      <c r="G68" s="361"/>
      <c r="H68" s="361"/>
      <c r="I68" s="8">
        <f>I54</f>
        <v>549.54</v>
      </c>
      <c r="J68" s="84"/>
    </row>
    <row r="69" spans="1:10" x14ac:dyDescent="0.2">
      <c r="A69" s="108" t="s">
        <v>91</v>
      </c>
      <c r="B69" s="361" t="s">
        <v>92</v>
      </c>
      <c r="C69" s="361"/>
      <c r="D69" s="361"/>
      <c r="E69" s="361"/>
      <c r="F69" s="361"/>
      <c r="G69" s="361"/>
      <c r="H69" s="361"/>
      <c r="I69" s="8">
        <f>I62</f>
        <v>588.35</v>
      </c>
      <c r="J69" s="84"/>
    </row>
    <row r="70" spans="1:10" x14ac:dyDescent="0.2">
      <c r="A70" s="379" t="s">
        <v>93</v>
      </c>
      <c r="B70" s="379"/>
      <c r="C70" s="379"/>
      <c r="D70" s="379"/>
      <c r="E70" s="379"/>
      <c r="F70" s="379"/>
      <c r="G70" s="379"/>
      <c r="H70" s="379"/>
      <c r="I70" s="10">
        <f>TRUNC(SUM(I67:I69),2)</f>
        <v>1391.22</v>
      </c>
      <c r="J70" s="84"/>
    </row>
    <row r="71" spans="1:10" x14ac:dyDescent="0.2">
      <c r="A71" s="405"/>
      <c r="B71" s="406"/>
      <c r="C71" s="406"/>
      <c r="D71" s="406"/>
      <c r="E71" s="406"/>
      <c r="F71" s="406"/>
      <c r="G71" s="406"/>
      <c r="H71" s="406"/>
      <c r="I71" s="406"/>
      <c r="J71" s="84"/>
    </row>
    <row r="72" spans="1:10" ht="17.25" customHeight="1" x14ac:dyDescent="0.2">
      <c r="A72" s="437" t="s">
        <v>94</v>
      </c>
      <c r="B72" s="438"/>
      <c r="C72" s="438"/>
      <c r="D72" s="438"/>
      <c r="E72" s="438"/>
      <c r="F72" s="438"/>
      <c r="G72" s="438"/>
      <c r="H72" s="438"/>
      <c r="I72" s="110"/>
      <c r="J72" s="84"/>
    </row>
    <row r="73" spans="1:10" ht="16.5" customHeight="1" x14ac:dyDescent="0.2">
      <c r="A73" s="439" t="s">
        <v>181</v>
      </c>
      <c r="B73" s="440"/>
      <c r="C73" s="440"/>
      <c r="D73" s="440"/>
      <c r="E73" s="440"/>
      <c r="F73" s="440"/>
      <c r="G73" s="440"/>
      <c r="H73" s="441"/>
      <c r="I73" s="111">
        <f>I33+I40</f>
        <v>1493.3319999999999</v>
      </c>
      <c r="J73" s="84"/>
    </row>
    <row r="74" spans="1:10" x14ac:dyDescent="0.2">
      <c r="A74" s="112">
        <v>3</v>
      </c>
      <c r="B74" s="436" t="s">
        <v>95</v>
      </c>
      <c r="C74" s="436"/>
      <c r="D74" s="436"/>
      <c r="E74" s="436"/>
      <c r="F74" s="436"/>
      <c r="G74" s="436"/>
      <c r="H74" s="112" t="s">
        <v>55</v>
      </c>
      <c r="I74" s="112" t="s">
        <v>56</v>
      </c>
      <c r="J74" s="84"/>
    </row>
    <row r="75" spans="1:10" ht="68.650000000000006" customHeight="1" x14ac:dyDescent="0.2">
      <c r="A75" s="201" t="s">
        <v>34</v>
      </c>
      <c r="B75" s="433" t="s">
        <v>387</v>
      </c>
      <c r="C75" s="434"/>
      <c r="D75" s="434"/>
      <c r="E75" s="434"/>
      <c r="F75" s="434"/>
      <c r="G75" s="435"/>
      <c r="H75" s="114">
        <f>(1/12)*5%</f>
        <v>4.1666666666666666E-3</v>
      </c>
      <c r="I75" s="191">
        <f>$I$73*H75</f>
        <v>6.2222166666666663</v>
      </c>
      <c r="J75" s="84"/>
    </row>
    <row r="76" spans="1:10" x14ac:dyDescent="0.2">
      <c r="A76" s="201" t="s">
        <v>36</v>
      </c>
      <c r="B76" s="432" t="s">
        <v>96</v>
      </c>
      <c r="C76" s="432"/>
      <c r="D76" s="432"/>
      <c r="E76" s="432"/>
      <c r="F76" s="432"/>
      <c r="G76" s="432"/>
      <c r="H76" s="114">
        <f>8%*H75</f>
        <v>3.3333333333333332E-4</v>
      </c>
      <c r="I76" s="191">
        <f t="shared" ref="I76:I79" si="1">$I$73*H76</f>
        <v>0.49777733333333329</v>
      </c>
      <c r="J76" s="93"/>
    </row>
    <row r="77" spans="1:10" ht="27.75" customHeight="1" x14ac:dyDescent="0.2">
      <c r="A77" s="201" t="s">
        <v>38</v>
      </c>
      <c r="B77" s="433" t="s">
        <v>388</v>
      </c>
      <c r="C77" s="434"/>
      <c r="D77" s="434"/>
      <c r="E77" s="434"/>
      <c r="F77" s="434"/>
      <c r="G77" s="435"/>
      <c r="H77" s="114">
        <f>((8%*40%*5%*(1+1/12+1/12+(1/3/12))))</f>
        <v>1.9111111111111108E-3</v>
      </c>
      <c r="I77" s="191">
        <f t="shared" si="1"/>
        <v>2.853923377777777</v>
      </c>
      <c r="J77" s="84"/>
    </row>
    <row r="78" spans="1:10" ht="37.5" customHeight="1" x14ac:dyDescent="0.2">
      <c r="A78" s="201" t="s">
        <v>39</v>
      </c>
      <c r="B78" s="433" t="s">
        <v>389</v>
      </c>
      <c r="C78" s="434"/>
      <c r="D78" s="434"/>
      <c r="E78" s="434"/>
      <c r="F78" s="434"/>
      <c r="G78" s="435"/>
      <c r="H78" s="114">
        <f>((1/30)*7)/12</f>
        <v>1.9444444444444445E-2</v>
      </c>
      <c r="I78" s="191">
        <f>$I$73*H78</f>
        <v>29.037011111111109</v>
      </c>
      <c r="J78" s="84"/>
    </row>
    <row r="79" spans="1:10" ht="12.75" customHeight="1" x14ac:dyDescent="0.2">
      <c r="A79" s="201" t="s">
        <v>61</v>
      </c>
      <c r="B79" s="432" t="s">
        <v>204</v>
      </c>
      <c r="C79" s="432"/>
      <c r="D79" s="432"/>
      <c r="E79" s="432"/>
      <c r="F79" s="432"/>
      <c r="G79" s="432"/>
      <c r="H79" s="114">
        <f>H54*H78</f>
        <v>7.1555555555555565E-3</v>
      </c>
      <c r="I79" s="191">
        <f t="shared" si="1"/>
        <v>10.685620088888889</v>
      </c>
      <c r="J79" s="84"/>
    </row>
    <row r="80" spans="1:10" ht="27" customHeight="1" x14ac:dyDescent="0.2">
      <c r="A80" s="201" t="s">
        <v>63</v>
      </c>
      <c r="B80" s="433" t="s">
        <v>390</v>
      </c>
      <c r="C80" s="434"/>
      <c r="D80" s="434"/>
      <c r="E80" s="434"/>
      <c r="F80" s="434"/>
      <c r="G80" s="435"/>
      <c r="H80" s="114">
        <f>((8%*40%*100%*(1+1/12+1/12+(1/3/12))))</f>
        <v>3.8222222222222213E-2</v>
      </c>
      <c r="I80" s="191">
        <f>$I$73*H80</f>
        <v>57.078467555555534</v>
      </c>
      <c r="J80" s="84"/>
    </row>
    <row r="81" spans="1:12" x14ac:dyDescent="0.2">
      <c r="A81" s="436" t="s">
        <v>97</v>
      </c>
      <c r="B81" s="436"/>
      <c r="C81" s="436"/>
      <c r="D81" s="436"/>
      <c r="E81" s="436"/>
      <c r="F81" s="436"/>
      <c r="G81" s="436"/>
      <c r="H81" s="115">
        <f>TRUNC(SUM(H75:H80),4)</f>
        <v>7.1199999999999999E-2</v>
      </c>
      <c r="I81" s="9">
        <f>TRUNC(SUM(I75:I80),2)</f>
        <v>106.37</v>
      </c>
      <c r="J81" s="84"/>
    </row>
    <row r="82" spans="1:12" ht="87.6" customHeight="1" x14ac:dyDescent="0.2">
      <c r="A82" s="472" t="s">
        <v>411</v>
      </c>
      <c r="B82" s="473"/>
      <c r="C82" s="473"/>
      <c r="D82" s="473"/>
      <c r="E82" s="473"/>
      <c r="F82" s="473"/>
      <c r="G82" s="473"/>
      <c r="H82" s="473"/>
      <c r="I82" s="474"/>
      <c r="J82" s="84"/>
    </row>
    <row r="83" spans="1:12" x14ac:dyDescent="0.2">
      <c r="A83" s="499"/>
      <c r="B83" s="500"/>
      <c r="C83" s="500"/>
      <c r="D83" s="500"/>
      <c r="E83" s="500"/>
      <c r="F83" s="500"/>
      <c r="G83" s="500"/>
      <c r="H83" s="500"/>
      <c r="I83" s="501"/>
      <c r="J83" s="84"/>
    </row>
    <row r="84" spans="1:12" x14ac:dyDescent="0.2">
      <c r="A84" s="116"/>
      <c r="B84" s="117"/>
      <c r="C84" s="117"/>
      <c r="D84" s="117"/>
      <c r="E84" s="117"/>
      <c r="F84" s="117"/>
      <c r="G84" s="117"/>
      <c r="H84" s="118"/>
      <c r="I84" s="119"/>
      <c r="J84" s="84"/>
    </row>
    <row r="85" spans="1:12" x14ac:dyDescent="0.2">
      <c r="A85" s="407" t="s">
        <v>98</v>
      </c>
      <c r="B85" s="407"/>
      <c r="C85" s="407"/>
      <c r="D85" s="407"/>
      <c r="E85" s="407"/>
      <c r="F85" s="407"/>
      <c r="G85" s="407"/>
      <c r="H85" s="407"/>
      <c r="I85" s="407"/>
      <c r="J85" s="99"/>
    </row>
    <row r="86" spans="1:12" ht="21.75" customHeight="1" x14ac:dyDescent="0.2">
      <c r="A86" s="426" t="s">
        <v>182</v>
      </c>
      <c r="B86" s="427"/>
      <c r="C86" s="427"/>
      <c r="D86" s="427"/>
      <c r="E86" s="427"/>
      <c r="F86" s="427"/>
      <c r="G86" s="427"/>
      <c r="H86" s="428"/>
      <c r="I86" s="120">
        <f>I33+I70+I81</f>
        <v>2737.59</v>
      </c>
      <c r="J86" s="84"/>
    </row>
    <row r="87" spans="1:12" x14ac:dyDescent="0.2">
      <c r="A87" s="379" t="s">
        <v>183</v>
      </c>
      <c r="B87" s="379"/>
      <c r="C87" s="379"/>
      <c r="D87" s="379"/>
      <c r="E87" s="379"/>
      <c r="F87" s="379"/>
      <c r="G87" s="379"/>
      <c r="H87" s="75" t="s">
        <v>55</v>
      </c>
      <c r="I87" s="75" t="s">
        <v>56</v>
      </c>
      <c r="J87" s="84"/>
    </row>
    <row r="88" spans="1:12" ht="25.5" customHeight="1" x14ac:dyDescent="0.2">
      <c r="A88" s="112" t="s">
        <v>34</v>
      </c>
      <c r="B88" s="414" t="s">
        <v>391</v>
      </c>
      <c r="C88" s="415"/>
      <c r="D88" s="415"/>
      <c r="E88" s="415"/>
      <c r="F88" s="415"/>
      <c r="G88" s="416"/>
      <c r="H88" s="121">
        <f>((1/11+1/12+((1/3)/11))/12)</f>
        <v>1.7045454545454548E-2</v>
      </c>
      <c r="I88" s="191">
        <f>H88*I27</f>
        <v>21.13636363636364</v>
      </c>
      <c r="J88" s="123"/>
    </row>
    <row r="89" spans="1:12" ht="25.9" customHeight="1" x14ac:dyDescent="0.2">
      <c r="A89" s="112" t="s">
        <v>36</v>
      </c>
      <c r="B89" s="423" t="s">
        <v>399</v>
      </c>
      <c r="C89" s="424"/>
      <c r="D89" s="424"/>
      <c r="E89" s="424"/>
      <c r="F89" s="424"/>
      <c r="G89" s="425"/>
      <c r="H89" s="114">
        <f>((1/30)*1/12)</f>
        <v>2.7777777777777779E-3</v>
      </c>
      <c r="I89" s="191">
        <f t="shared" ref="I89:I93" si="2">H89*$I$86</f>
        <v>7.6044166666666673</v>
      </c>
      <c r="J89" s="84"/>
    </row>
    <row r="90" spans="1:12" ht="27" customHeight="1" x14ac:dyDescent="0.2">
      <c r="A90" s="112" t="s">
        <v>38</v>
      </c>
      <c r="B90" s="417" t="s">
        <v>398</v>
      </c>
      <c r="C90" s="417"/>
      <c r="D90" s="417"/>
      <c r="E90" s="417"/>
      <c r="F90" s="417"/>
      <c r="G90" s="417"/>
      <c r="H90" s="114">
        <f>((5/30)*1/12)*6.24%*50%</f>
        <v>4.3333333333333331E-4</v>
      </c>
      <c r="I90" s="191">
        <f t="shared" si="2"/>
        <v>1.1862889999999999</v>
      </c>
      <c r="J90" s="84"/>
    </row>
    <row r="91" spans="1:12" ht="27" customHeight="1" x14ac:dyDescent="0.2">
      <c r="A91" s="112" t="s">
        <v>39</v>
      </c>
      <c r="B91" s="414" t="s">
        <v>400</v>
      </c>
      <c r="C91" s="415"/>
      <c r="D91" s="415"/>
      <c r="E91" s="415"/>
      <c r="F91" s="415"/>
      <c r="G91" s="416"/>
      <c r="H91" s="114">
        <f>((0.98/30)*(1/12))</f>
        <v>2.7222222222222218E-3</v>
      </c>
      <c r="I91" s="191">
        <f t="shared" si="2"/>
        <v>7.452328333333333</v>
      </c>
      <c r="J91" s="87"/>
    </row>
    <row r="92" spans="1:12" ht="26.65" customHeight="1" x14ac:dyDescent="0.2">
      <c r="A92" s="112" t="s">
        <v>61</v>
      </c>
      <c r="B92" s="414" t="s">
        <v>392</v>
      </c>
      <c r="C92" s="415"/>
      <c r="D92" s="415"/>
      <c r="E92" s="415"/>
      <c r="F92" s="415"/>
      <c r="G92" s="416"/>
      <c r="H92" s="114">
        <f>((1/12)*(4/12))*2%</f>
        <v>5.5555555555555556E-4</v>
      </c>
      <c r="I92" s="191">
        <f>H92*I33</f>
        <v>0.68888888888888888</v>
      </c>
      <c r="J92" s="87"/>
      <c r="K92" s="196"/>
    </row>
    <row r="93" spans="1:12" ht="26.45" customHeight="1" x14ac:dyDescent="0.2">
      <c r="A93" s="112" t="s">
        <v>63</v>
      </c>
      <c r="B93" s="417" t="s">
        <v>401</v>
      </c>
      <c r="C93" s="417"/>
      <c r="D93" s="417"/>
      <c r="E93" s="417"/>
      <c r="F93" s="417"/>
      <c r="G93" s="417"/>
      <c r="H93" s="114">
        <f>((5.96/30)*(1/12))</f>
        <v>1.6555555555555553E-2</v>
      </c>
      <c r="I93" s="191">
        <f t="shared" si="2"/>
        <v>45.32232333333333</v>
      </c>
      <c r="J93" s="84"/>
      <c r="L93" s="124"/>
    </row>
    <row r="94" spans="1:12" x14ac:dyDescent="0.2">
      <c r="A94" s="379" t="s">
        <v>99</v>
      </c>
      <c r="B94" s="379"/>
      <c r="C94" s="379"/>
      <c r="D94" s="379"/>
      <c r="E94" s="379"/>
      <c r="F94" s="379"/>
      <c r="G94" s="379"/>
      <c r="H94" s="125">
        <f>SUM(H88:H93)</f>
        <v>4.0089898989898995E-2</v>
      </c>
      <c r="I94" s="9">
        <f>SUM(I88:I93)</f>
        <v>83.390609858585862</v>
      </c>
      <c r="J94" s="84"/>
      <c r="K94" s="196"/>
      <c r="L94" s="7"/>
    </row>
    <row r="95" spans="1:12" ht="74.25" customHeight="1" x14ac:dyDescent="0.2">
      <c r="A95" s="429" t="s">
        <v>404</v>
      </c>
      <c r="B95" s="430"/>
      <c r="C95" s="430"/>
      <c r="D95" s="430"/>
      <c r="E95" s="430"/>
      <c r="F95" s="430"/>
      <c r="G95" s="430"/>
      <c r="H95" s="430"/>
      <c r="I95" s="431"/>
      <c r="J95" s="84"/>
    </row>
    <row r="96" spans="1:12" x14ac:dyDescent="0.2">
      <c r="A96" s="418"/>
      <c r="B96" s="419"/>
      <c r="C96" s="419"/>
      <c r="D96" s="419"/>
      <c r="E96" s="419"/>
      <c r="F96" s="419"/>
      <c r="G96" s="419"/>
      <c r="H96" s="419"/>
      <c r="I96" s="419"/>
      <c r="J96" s="84"/>
    </row>
    <row r="97" spans="1:10" ht="15.75" customHeight="1" x14ac:dyDescent="0.2">
      <c r="A97" s="420" t="s">
        <v>184</v>
      </c>
      <c r="B97" s="421"/>
      <c r="C97" s="421"/>
      <c r="D97" s="421"/>
      <c r="E97" s="421"/>
      <c r="F97" s="421"/>
      <c r="G97" s="422"/>
      <c r="H97" s="126" t="s">
        <v>55</v>
      </c>
      <c r="I97" s="126" t="s">
        <v>56</v>
      </c>
      <c r="J97" s="84"/>
    </row>
    <row r="98" spans="1:10" ht="24.75" customHeight="1" x14ac:dyDescent="0.2">
      <c r="A98" s="195" t="s">
        <v>34</v>
      </c>
      <c r="B98" s="408" t="s">
        <v>383</v>
      </c>
      <c r="C98" s="409"/>
      <c r="D98" s="409"/>
      <c r="E98" s="409"/>
      <c r="F98" s="409"/>
      <c r="G98" s="410"/>
      <c r="H98" s="121">
        <v>0</v>
      </c>
      <c r="I98" s="122">
        <f>$I$33*H98</f>
        <v>0</v>
      </c>
      <c r="J98" s="84"/>
    </row>
    <row r="99" spans="1:10" x14ac:dyDescent="0.2">
      <c r="A99" s="379" t="s">
        <v>100</v>
      </c>
      <c r="B99" s="379"/>
      <c r="C99" s="379"/>
      <c r="D99" s="379"/>
      <c r="E99" s="379"/>
      <c r="F99" s="379"/>
      <c r="G99" s="379"/>
      <c r="H99" s="89">
        <f>TRUNC(SUM(H98),4)</f>
        <v>0</v>
      </c>
      <c r="I99" s="90">
        <f>TRUNC(SUM(I98),2)</f>
        <v>0</v>
      </c>
      <c r="J99" s="84"/>
    </row>
    <row r="100" spans="1:10" x14ac:dyDescent="0.2">
      <c r="A100" s="411"/>
      <c r="B100" s="412"/>
      <c r="C100" s="412"/>
      <c r="D100" s="412"/>
      <c r="E100" s="412"/>
      <c r="F100" s="412"/>
      <c r="G100" s="412"/>
      <c r="H100" s="412"/>
      <c r="I100" s="412"/>
      <c r="J100" s="84"/>
    </row>
    <row r="101" spans="1:10" x14ac:dyDescent="0.2">
      <c r="A101" s="413" t="s">
        <v>101</v>
      </c>
      <c r="B101" s="413"/>
      <c r="C101" s="413"/>
      <c r="D101" s="413"/>
      <c r="E101" s="413"/>
      <c r="F101" s="413"/>
      <c r="G101" s="413"/>
      <c r="H101" s="413"/>
      <c r="I101" s="413"/>
      <c r="J101" s="84"/>
    </row>
    <row r="102" spans="1:10" x14ac:dyDescent="0.2">
      <c r="A102" s="379" t="s">
        <v>102</v>
      </c>
      <c r="B102" s="379"/>
      <c r="C102" s="379"/>
      <c r="D102" s="379"/>
      <c r="E102" s="379"/>
      <c r="F102" s="379"/>
      <c r="G102" s="379"/>
      <c r="H102" s="379"/>
      <c r="I102" s="75" t="s">
        <v>56</v>
      </c>
      <c r="J102" s="84"/>
    </row>
    <row r="103" spans="1:10" x14ac:dyDescent="0.2">
      <c r="A103" s="75" t="s">
        <v>103</v>
      </c>
      <c r="B103" s="380" t="s">
        <v>185</v>
      </c>
      <c r="C103" s="380"/>
      <c r="D103" s="380"/>
      <c r="E103" s="380"/>
      <c r="F103" s="380"/>
      <c r="G103" s="380"/>
      <c r="H103" s="380"/>
      <c r="I103" s="8">
        <f>I94</f>
        <v>83.390609858585862</v>
      </c>
      <c r="J103" s="84"/>
    </row>
    <row r="104" spans="1:10" x14ac:dyDescent="0.2">
      <c r="A104" s="79" t="s">
        <v>104</v>
      </c>
      <c r="B104" s="380" t="s">
        <v>186</v>
      </c>
      <c r="C104" s="380"/>
      <c r="D104" s="380"/>
      <c r="E104" s="380"/>
      <c r="F104" s="380"/>
      <c r="G104" s="380"/>
      <c r="H104" s="380"/>
      <c r="I104" s="109">
        <f>I99</f>
        <v>0</v>
      </c>
      <c r="J104" s="84"/>
    </row>
    <row r="105" spans="1:10" x14ac:dyDescent="0.2">
      <c r="A105" s="379" t="s">
        <v>105</v>
      </c>
      <c r="B105" s="379"/>
      <c r="C105" s="379"/>
      <c r="D105" s="379"/>
      <c r="E105" s="379"/>
      <c r="F105" s="379"/>
      <c r="G105" s="379"/>
      <c r="H105" s="379"/>
      <c r="I105" s="10">
        <f>I94+I99</f>
        <v>83.390609858585862</v>
      </c>
      <c r="J105" s="84"/>
    </row>
    <row r="106" spans="1:10" x14ac:dyDescent="0.2">
      <c r="A106" s="405"/>
      <c r="B106" s="406"/>
      <c r="C106" s="406"/>
      <c r="D106" s="406"/>
      <c r="E106" s="406"/>
      <c r="F106" s="406"/>
      <c r="G106" s="406"/>
      <c r="H106" s="406"/>
      <c r="I106" s="406"/>
      <c r="J106" s="84"/>
    </row>
    <row r="107" spans="1:10" x14ac:dyDescent="0.2">
      <c r="A107" s="407" t="s">
        <v>106</v>
      </c>
      <c r="B107" s="407"/>
      <c r="C107" s="407"/>
      <c r="D107" s="407"/>
      <c r="E107" s="407"/>
      <c r="F107" s="407"/>
      <c r="G107" s="407"/>
      <c r="H107" s="407"/>
      <c r="I107" s="407"/>
      <c r="J107" s="84"/>
    </row>
    <row r="108" spans="1:10" x14ac:dyDescent="0.2">
      <c r="A108" s="75">
        <v>5</v>
      </c>
      <c r="B108" s="379" t="s">
        <v>107</v>
      </c>
      <c r="C108" s="379"/>
      <c r="D108" s="379"/>
      <c r="E108" s="379"/>
      <c r="F108" s="379"/>
      <c r="G108" s="379"/>
      <c r="H108" s="75"/>
      <c r="I108" s="75" t="s">
        <v>56</v>
      </c>
      <c r="J108" s="84"/>
    </row>
    <row r="109" spans="1:10" x14ac:dyDescent="0.2">
      <c r="A109" s="75" t="s">
        <v>34</v>
      </c>
      <c r="B109" s="390" t="s">
        <v>384</v>
      </c>
      <c r="C109" s="390"/>
      <c r="D109" s="390"/>
      <c r="E109" s="390"/>
      <c r="F109" s="390"/>
      <c r="G109" s="390"/>
      <c r="H109" s="62" t="s">
        <v>82</v>
      </c>
      <c r="I109" s="8">
        <f>'Materiais e Uniformes'!G148</f>
        <v>56.867499999999993</v>
      </c>
      <c r="J109" s="84"/>
    </row>
    <row r="110" spans="1:10" x14ac:dyDescent="0.2">
      <c r="A110" s="75" t="s">
        <v>36</v>
      </c>
      <c r="B110" s="390" t="s">
        <v>393</v>
      </c>
      <c r="C110" s="390"/>
      <c r="D110" s="390"/>
      <c r="E110" s="390"/>
      <c r="F110" s="390"/>
      <c r="G110" s="390"/>
      <c r="H110" s="62" t="s">
        <v>82</v>
      </c>
      <c r="I110" s="8">
        <f>'Materiais e Uniformes'!J32</f>
        <v>21.774333333333331</v>
      </c>
      <c r="J110" s="84"/>
    </row>
    <row r="111" spans="1:10" x14ac:dyDescent="0.2">
      <c r="A111" s="76" t="s">
        <v>38</v>
      </c>
      <c r="B111" s="352" t="s">
        <v>408</v>
      </c>
      <c r="C111" s="353"/>
      <c r="D111" s="353"/>
      <c r="E111" s="353"/>
      <c r="F111" s="353"/>
      <c r="G111" s="354"/>
      <c r="H111" s="67"/>
      <c r="I111" s="8">
        <f>'Materiais e Uniformes'!F78</f>
        <v>121.80266666666667</v>
      </c>
      <c r="J111" s="84"/>
    </row>
    <row r="112" spans="1:10" x14ac:dyDescent="0.2">
      <c r="A112" s="127" t="s">
        <v>39</v>
      </c>
      <c r="B112" s="390" t="s">
        <v>409</v>
      </c>
      <c r="C112" s="390"/>
      <c r="D112" s="390"/>
      <c r="E112" s="390"/>
      <c r="F112" s="390"/>
      <c r="G112" s="390"/>
      <c r="H112" s="62" t="s">
        <v>82</v>
      </c>
      <c r="I112" s="8">
        <f>'Materiais e Uniformes'!F125</f>
        <v>402.67500000000001</v>
      </c>
      <c r="J112" s="84"/>
    </row>
    <row r="113" spans="1:12" x14ac:dyDescent="0.2">
      <c r="A113" s="379" t="s">
        <v>108</v>
      </c>
      <c r="B113" s="379"/>
      <c r="C113" s="379"/>
      <c r="D113" s="379"/>
      <c r="E113" s="379"/>
      <c r="F113" s="379"/>
      <c r="G113" s="379"/>
      <c r="H113" s="89" t="s">
        <v>82</v>
      </c>
      <c r="I113" s="10">
        <f>TRUNC(SUM(I109:I112),2)</f>
        <v>603.11</v>
      </c>
      <c r="J113" s="84"/>
    </row>
    <row r="114" spans="1:12" x14ac:dyDescent="0.2">
      <c r="A114" s="128"/>
      <c r="B114" s="129"/>
      <c r="C114" s="129"/>
      <c r="D114" s="129"/>
      <c r="E114" s="129"/>
      <c r="F114" s="129"/>
      <c r="G114" s="129"/>
      <c r="H114" s="130"/>
      <c r="I114" s="131"/>
      <c r="J114" s="84"/>
    </row>
    <row r="115" spans="1:12" x14ac:dyDescent="0.2">
      <c r="A115" s="402" t="s">
        <v>187</v>
      </c>
      <c r="B115" s="403"/>
      <c r="C115" s="403"/>
      <c r="D115" s="403"/>
      <c r="E115" s="403"/>
      <c r="F115" s="403"/>
      <c r="G115" s="403"/>
      <c r="H115" s="404"/>
      <c r="I115" s="132"/>
      <c r="J115" s="84"/>
    </row>
    <row r="116" spans="1:12" x14ac:dyDescent="0.2">
      <c r="A116" s="478" t="s">
        <v>29</v>
      </c>
      <c r="B116" s="478"/>
      <c r="C116" s="478"/>
      <c r="D116" s="478"/>
      <c r="E116" s="478"/>
      <c r="F116" s="478"/>
      <c r="G116" s="478"/>
      <c r="H116" s="478"/>
      <c r="I116" s="133">
        <f>I33+I70+I81+I105+I113</f>
        <v>3424.090609858586</v>
      </c>
      <c r="J116" s="84"/>
    </row>
    <row r="117" spans="1:12" ht="14.25" customHeight="1" x14ac:dyDescent="0.2">
      <c r="A117" s="128"/>
      <c r="B117" s="129"/>
      <c r="C117" s="129"/>
      <c r="D117" s="129"/>
      <c r="E117" s="129"/>
      <c r="F117" s="129"/>
      <c r="G117" s="129"/>
      <c r="H117" s="130"/>
      <c r="I117" s="131"/>
      <c r="J117" s="84"/>
    </row>
    <row r="118" spans="1:12" x14ac:dyDescent="0.2">
      <c r="A118" s="391" t="s">
        <v>109</v>
      </c>
      <c r="B118" s="392"/>
      <c r="C118" s="392"/>
      <c r="D118" s="392"/>
      <c r="E118" s="392"/>
      <c r="F118" s="392"/>
      <c r="G118" s="392"/>
      <c r="H118" s="392"/>
      <c r="I118" s="393"/>
      <c r="J118" s="84"/>
    </row>
    <row r="119" spans="1:12" x14ac:dyDescent="0.2">
      <c r="A119" s="75">
        <v>6</v>
      </c>
      <c r="B119" s="379" t="s">
        <v>110</v>
      </c>
      <c r="C119" s="379"/>
      <c r="D119" s="379"/>
      <c r="E119" s="379"/>
      <c r="F119" s="379"/>
      <c r="G119" s="379"/>
      <c r="H119" s="75" t="s">
        <v>55</v>
      </c>
      <c r="I119" s="75" t="s">
        <v>56</v>
      </c>
      <c r="J119" s="84"/>
    </row>
    <row r="120" spans="1:12" x14ac:dyDescent="0.2">
      <c r="A120" s="75" t="s">
        <v>34</v>
      </c>
      <c r="B120" s="361" t="s">
        <v>111</v>
      </c>
      <c r="C120" s="361"/>
      <c r="D120" s="361"/>
      <c r="E120" s="361"/>
      <c r="F120" s="361"/>
      <c r="G120" s="361"/>
      <c r="H120" s="134">
        <v>6.7500000000000004E-2</v>
      </c>
      <c r="I120" s="190">
        <f>H120*I116</f>
        <v>231.12611616545456</v>
      </c>
      <c r="J120" s="84"/>
    </row>
    <row r="121" spans="1:12" x14ac:dyDescent="0.2">
      <c r="A121" s="79" t="s">
        <v>36</v>
      </c>
      <c r="B121" s="361" t="s">
        <v>112</v>
      </c>
      <c r="C121" s="361"/>
      <c r="D121" s="361"/>
      <c r="E121" s="361"/>
      <c r="F121" s="361"/>
      <c r="G121" s="361"/>
      <c r="H121" s="134">
        <v>7.6499999999999999E-2</v>
      </c>
      <c r="I121" s="190">
        <f>(I116+I120)*H121</f>
        <v>279.62407954083909</v>
      </c>
      <c r="J121" s="99"/>
      <c r="L121" s="7"/>
    </row>
    <row r="122" spans="1:12" x14ac:dyDescent="0.2">
      <c r="A122" s="479" t="s">
        <v>38</v>
      </c>
      <c r="B122" s="492" t="s">
        <v>188</v>
      </c>
      <c r="C122" s="493"/>
      <c r="D122" s="493"/>
      <c r="E122" s="493"/>
      <c r="F122" s="493"/>
      <c r="G122" s="494"/>
      <c r="H122" s="481">
        <f>E124+E125+E130+E126+E128+E131</f>
        <v>0.14250000000000002</v>
      </c>
      <c r="I122" s="489">
        <f>H122*I133</f>
        <v>653.8948277469334</v>
      </c>
      <c r="J122" s="99"/>
    </row>
    <row r="123" spans="1:12" x14ac:dyDescent="0.2">
      <c r="A123" s="479"/>
      <c r="B123" s="495" t="s">
        <v>189</v>
      </c>
      <c r="C123" s="496"/>
      <c r="D123" s="496"/>
      <c r="E123" s="496"/>
      <c r="F123" s="496"/>
      <c r="G123" s="497"/>
      <c r="H123" s="481"/>
      <c r="I123" s="490"/>
      <c r="J123" s="99"/>
    </row>
    <row r="124" spans="1:12" x14ac:dyDescent="0.2">
      <c r="A124" s="479"/>
      <c r="B124" s="483" t="s">
        <v>190</v>
      </c>
      <c r="C124" s="483"/>
      <c r="D124" s="483"/>
      <c r="E124" s="135">
        <v>1.6500000000000001E-2</v>
      </c>
      <c r="F124" s="136"/>
      <c r="G124" s="137"/>
      <c r="H124" s="482"/>
      <c r="I124" s="490"/>
      <c r="J124" s="84"/>
    </row>
    <row r="125" spans="1:12" x14ac:dyDescent="0.2">
      <c r="A125" s="479"/>
      <c r="B125" s="484" t="s">
        <v>191</v>
      </c>
      <c r="C125" s="484"/>
      <c r="D125" s="484"/>
      <c r="E125" s="138">
        <v>7.5999999999999998E-2</v>
      </c>
      <c r="F125" s="139"/>
      <c r="G125" s="137"/>
      <c r="H125" s="482"/>
      <c r="I125" s="490"/>
    </row>
    <row r="126" spans="1:12" x14ac:dyDescent="0.2">
      <c r="A126" s="479"/>
      <c r="B126" s="484" t="s">
        <v>192</v>
      </c>
      <c r="C126" s="484"/>
      <c r="D126" s="484"/>
      <c r="E126" s="140"/>
      <c r="F126" s="139"/>
      <c r="G126" s="137"/>
      <c r="H126" s="482"/>
      <c r="I126" s="490"/>
    </row>
    <row r="127" spans="1:12" x14ac:dyDescent="0.2">
      <c r="A127" s="480"/>
      <c r="B127" s="397" t="s">
        <v>193</v>
      </c>
      <c r="C127" s="398"/>
      <c r="D127" s="398"/>
      <c r="E127" s="398"/>
      <c r="F127" s="398"/>
      <c r="G127" s="399"/>
      <c r="H127" s="482"/>
      <c r="I127" s="490"/>
      <c r="J127" s="141"/>
    </row>
    <row r="128" spans="1:12" x14ac:dyDescent="0.2">
      <c r="A128" s="480"/>
      <c r="B128" s="485" t="s">
        <v>194</v>
      </c>
      <c r="C128" s="486"/>
      <c r="D128" s="486"/>
      <c r="E128" s="142"/>
      <c r="F128" s="143"/>
      <c r="G128" s="144"/>
      <c r="H128" s="482"/>
      <c r="I128" s="490"/>
    </row>
    <row r="129" spans="1:11" x14ac:dyDescent="0.2">
      <c r="A129" s="479"/>
      <c r="B129" s="400" t="s">
        <v>195</v>
      </c>
      <c r="C129" s="398"/>
      <c r="D129" s="398"/>
      <c r="E129" s="398"/>
      <c r="F129" s="398"/>
      <c r="G129" s="401"/>
      <c r="H129" s="481"/>
      <c r="I129" s="490"/>
    </row>
    <row r="130" spans="1:11" x14ac:dyDescent="0.2">
      <c r="A130" s="479"/>
      <c r="B130" s="487" t="s">
        <v>196</v>
      </c>
      <c r="C130" s="487"/>
      <c r="D130" s="487"/>
      <c r="E130" s="145">
        <v>0.05</v>
      </c>
      <c r="F130" s="139"/>
      <c r="G130" s="137"/>
      <c r="H130" s="482"/>
      <c r="I130" s="490"/>
    </row>
    <row r="131" spans="1:11" x14ac:dyDescent="0.2">
      <c r="A131" s="479"/>
      <c r="B131" s="488" t="s">
        <v>192</v>
      </c>
      <c r="C131" s="488"/>
      <c r="D131" s="488"/>
      <c r="E131" s="146"/>
      <c r="F131" s="147"/>
      <c r="G131" s="144"/>
      <c r="H131" s="482"/>
      <c r="I131" s="491"/>
      <c r="K131" s="141"/>
    </row>
    <row r="132" spans="1:11" x14ac:dyDescent="0.2">
      <c r="A132" s="379" t="s">
        <v>113</v>
      </c>
      <c r="B132" s="379"/>
      <c r="C132" s="379"/>
      <c r="D132" s="379"/>
      <c r="E132" s="379"/>
      <c r="F132" s="379"/>
      <c r="G132" s="379"/>
      <c r="H132" s="148">
        <f>SUM(H120:H131)</f>
        <v>0.28650000000000003</v>
      </c>
      <c r="I132" s="192">
        <f>SUM(I120:I131)</f>
        <v>1164.6450234532272</v>
      </c>
      <c r="K132" s="141"/>
    </row>
    <row r="133" spans="1:11" x14ac:dyDescent="0.2">
      <c r="A133" s="149"/>
      <c r="B133" s="150"/>
      <c r="C133" s="150"/>
      <c r="D133" s="150"/>
      <c r="E133" s="151"/>
      <c r="F133" s="150"/>
      <c r="G133" s="152"/>
      <c r="H133" s="153">
        <f>1-((14.25)/100)</f>
        <v>0.85750000000000004</v>
      </c>
      <c r="I133" s="154">
        <f>(I116+I120+I121)/H133</f>
        <v>4588.7356333118132</v>
      </c>
      <c r="K133" s="141"/>
    </row>
    <row r="134" spans="1:11" x14ac:dyDescent="0.2">
      <c r="A134" s="65"/>
      <c r="B134" s="65"/>
      <c r="C134" s="65"/>
      <c r="D134" s="65"/>
      <c r="E134" s="65"/>
      <c r="F134" s="65"/>
      <c r="G134" s="65"/>
      <c r="H134" s="65"/>
      <c r="I134" s="155"/>
    </row>
    <row r="135" spans="1:11" x14ac:dyDescent="0.2">
      <c r="A135" s="394" t="s">
        <v>114</v>
      </c>
      <c r="B135" s="395"/>
      <c r="C135" s="395"/>
      <c r="D135" s="395"/>
      <c r="E135" s="395"/>
      <c r="F135" s="395"/>
      <c r="G135" s="395"/>
      <c r="H135" s="395"/>
      <c r="I135" s="396"/>
    </row>
    <row r="136" spans="1:11" x14ac:dyDescent="0.2">
      <c r="A136" s="379" t="s">
        <v>115</v>
      </c>
      <c r="B136" s="379"/>
      <c r="C136" s="379"/>
      <c r="D136" s="379"/>
      <c r="E136" s="379"/>
      <c r="F136" s="379"/>
      <c r="G136" s="379"/>
      <c r="H136" s="379"/>
      <c r="I136" s="75" t="s">
        <v>56</v>
      </c>
    </row>
    <row r="137" spans="1:11" x14ac:dyDescent="0.2">
      <c r="A137" s="62" t="s">
        <v>34</v>
      </c>
      <c r="B137" s="361" t="str">
        <f>A25</f>
        <v>MÓDULO 1 - COMPOSIÇÃO DA REMUNERAÇÃO</v>
      </c>
      <c r="C137" s="361"/>
      <c r="D137" s="361"/>
      <c r="E137" s="361"/>
      <c r="F137" s="361"/>
      <c r="G137" s="361"/>
      <c r="H137" s="361"/>
      <c r="I137" s="77">
        <f>I33</f>
        <v>1240</v>
      </c>
      <c r="K137" s="156"/>
    </row>
    <row r="138" spans="1:11" x14ac:dyDescent="0.2">
      <c r="A138" s="157" t="s">
        <v>36</v>
      </c>
      <c r="B138" s="361" t="str">
        <f>A36</f>
        <v>MÓDULO 2 – ENCARGOS E BENEFÍCIOS ANUAIS, MENSAIS E DIÁRIOS</v>
      </c>
      <c r="C138" s="361"/>
      <c r="D138" s="361"/>
      <c r="E138" s="361"/>
      <c r="F138" s="361"/>
      <c r="G138" s="361"/>
      <c r="H138" s="361"/>
      <c r="I138" s="77">
        <f>I70</f>
        <v>1391.22</v>
      </c>
      <c r="K138" s="156"/>
    </row>
    <row r="139" spans="1:11" x14ac:dyDescent="0.2">
      <c r="A139" s="157" t="s">
        <v>38</v>
      </c>
      <c r="B139" s="361" t="str">
        <f>A72</f>
        <v>MÓDULO 3 – PROVISÃO PARA RESCISÃO</v>
      </c>
      <c r="C139" s="361"/>
      <c r="D139" s="361"/>
      <c r="E139" s="361"/>
      <c r="F139" s="361"/>
      <c r="G139" s="361"/>
      <c r="H139" s="361"/>
      <c r="I139" s="77">
        <f>I81</f>
        <v>106.37</v>
      </c>
    </row>
    <row r="140" spans="1:11" x14ac:dyDescent="0.2">
      <c r="A140" s="62" t="s">
        <v>39</v>
      </c>
      <c r="B140" s="361" t="str">
        <f>A85</f>
        <v>MÓDULO 4 – CUSTO DE REPOSIÇÃO DO PROFISSIONAL AUSENTE</v>
      </c>
      <c r="C140" s="361"/>
      <c r="D140" s="361"/>
      <c r="E140" s="361"/>
      <c r="F140" s="361"/>
      <c r="G140" s="361"/>
      <c r="H140" s="361"/>
      <c r="I140" s="77">
        <f>I105</f>
        <v>83.390609858585862</v>
      </c>
      <c r="K140" s="141"/>
    </row>
    <row r="141" spans="1:11" x14ac:dyDescent="0.2">
      <c r="A141" s="157" t="s">
        <v>61</v>
      </c>
      <c r="B141" s="361" t="str">
        <f>A107</f>
        <v>MÓDULO 5 – INSUMOS DIVERSOS</v>
      </c>
      <c r="C141" s="361"/>
      <c r="D141" s="361"/>
      <c r="E141" s="361"/>
      <c r="F141" s="361"/>
      <c r="G141" s="361"/>
      <c r="H141" s="361"/>
      <c r="I141" s="77">
        <f>I113</f>
        <v>603.11</v>
      </c>
    </row>
    <row r="142" spans="1:11" x14ac:dyDescent="0.2">
      <c r="A142" s="79"/>
      <c r="B142" s="379" t="s">
        <v>116</v>
      </c>
      <c r="C142" s="379"/>
      <c r="D142" s="379"/>
      <c r="E142" s="379"/>
      <c r="F142" s="379"/>
      <c r="G142" s="379"/>
      <c r="H142" s="379"/>
      <c r="I142" s="77">
        <f>TRUNC(SUM(I137:I141),2)</f>
        <v>3424.09</v>
      </c>
    </row>
    <row r="143" spans="1:11" hidden="1" x14ac:dyDescent="0.2">
      <c r="A143" s="62" t="s">
        <v>63</v>
      </c>
      <c r="B143" s="361" t="str">
        <f>A118</f>
        <v>MÓDULO 6 – CUSTOS INDIRETOS, TRIBUTOS E LUCRO</v>
      </c>
      <c r="C143" s="361"/>
      <c r="D143" s="361"/>
      <c r="E143" s="361"/>
      <c r="F143" s="361"/>
      <c r="G143" s="361"/>
      <c r="H143" s="361"/>
      <c r="I143" s="86">
        <f>I126</f>
        <v>0</v>
      </c>
    </row>
    <row r="144" spans="1:11" ht="40.5" hidden="1" customHeight="1" thickBot="1" x14ac:dyDescent="0.25">
      <c r="A144" s="379" t="s">
        <v>117</v>
      </c>
      <c r="B144" s="379"/>
      <c r="C144" s="379"/>
      <c r="D144" s="379"/>
      <c r="E144" s="379"/>
      <c r="F144" s="379"/>
      <c r="G144" s="379"/>
      <c r="H144" s="379"/>
      <c r="I144" s="10">
        <f>TRUNC(SUM(I142:I143),2)</f>
        <v>3424.09</v>
      </c>
    </row>
    <row r="145" spans="1:9" hidden="1" x14ac:dyDescent="0.2">
      <c r="A145" s="65"/>
      <c r="B145" s="370" t="s">
        <v>118</v>
      </c>
      <c r="C145" s="370"/>
      <c r="D145" s="370"/>
      <c r="E145" s="370"/>
      <c r="F145" s="370"/>
      <c r="G145" s="370"/>
      <c r="H145" s="82"/>
      <c r="I145" s="82"/>
    </row>
    <row r="146" spans="1:9" ht="39" hidden="1" thickBot="1" x14ac:dyDescent="0.25">
      <c r="A146" s="371" t="s">
        <v>119</v>
      </c>
      <c r="B146" s="372"/>
      <c r="C146" s="371" t="s">
        <v>120</v>
      </c>
      <c r="D146" s="372"/>
      <c r="E146" s="371" t="s">
        <v>121</v>
      </c>
      <c r="F146" s="372"/>
      <c r="G146" s="158" t="s">
        <v>122</v>
      </c>
      <c r="H146" s="159" t="s">
        <v>123</v>
      </c>
      <c r="I146" s="160" t="s">
        <v>56</v>
      </c>
    </row>
    <row r="147" spans="1:9" hidden="1" x14ac:dyDescent="0.2">
      <c r="A147" s="373" t="s">
        <v>124</v>
      </c>
      <c r="B147" s="374"/>
      <c r="C147" s="375" t="s">
        <v>125</v>
      </c>
      <c r="D147" s="376"/>
      <c r="E147" s="377"/>
      <c r="F147" s="378"/>
      <c r="G147" s="161" t="s">
        <v>125</v>
      </c>
      <c r="H147" s="162"/>
      <c r="I147" s="163">
        <v>0</v>
      </c>
    </row>
    <row r="148" spans="1:9" hidden="1" x14ac:dyDescent="0.2">
      <c r="A148" s="380" t="s">
        <v>126</v>
      </c>
      <c r="B148" s="381"/>
      <c r="C148" s="382" t="s">
        <v>125</v>
      </c>
      <c r="D148" s="383"/>
      <c r="E148" s="384"/>
      <c r="F148" s="385"/>
      <c r="G148" s="164" t="s">
        <v>125</v>
      </c>
      <c r="H148" s="165"/>
      <c r="I148" s="166">
        <v>0</v>
      </c>
    </row>
    <row r="149" spans="1:9" hidden="1" x14ac:dyDescent="0.2">
      <c r="A149" s="380" t="s">
        <v>127</v>
      </c>
      <c r="B149" s="381"/>
      <c r="C149" s="382" t="s">
        <v>125</v>
      </c>
      <c r="D149" s="383"/>
      <c r="E149" s="384"/>
      <c r="F149" s="385"/>
      <c r="G149" s="164" t="s">
        <v>125</v>
      </c>
      <c r="H149" s="165"/>
      <c r="I149" s="166">
        <v>0</v>
      </c>
    </row>
    <row r="150" spans="1:9" hidden="1" x14ac:dyDescent="0.2">
      <c r="A150" s="380" t="s">
        <v>128</v>
      </c>
      <c r="B150" s="381"/>
      <c r="C150" s="382" t="s">
        <v>125</v>
      </c>
      <c r="D150" s="383"/>
      <c r="E150" s="384"/>
      <c r="F150" s="385"/>
      <c r="G150" s="164" t="s">
        <v>125</v>
      </c>
      <c r="H150" s="165"/>
      <c r="I150" s="166">
        <v>0</v>
      </c>
    </row>
    <row r="151" spans="1:9" hidden="1" x14ac:dyDescent="0.2">
      <c r="A151" s="498"/>
      <c r="B151" s="454"/>
      <c r="C151" s="384"/>
      <c r="D151" s="385"/>
      <c r="E151" s="384"/>
      <c r="F151" s="385"/>
      <c r="G151" s="167"/>
      <c r="H151" s="168"/>
      <c r="I151" s="166"/>
    </row>
    <row r="152" spans="1:9" ht="13.5" hidden="1" thickBot="1" x14ac:dyDescent="0.25">
      <c r="A152" s="386"/>
      <c r="B152" s="387"/>
      <c r="C152" s="388"/>
      <c r="D152" s="389"/>
      <c r="E152" s="388"/>
      <c r="F152" s="389"/>
      <c r="G152" s="169"/>
      <c r="H152" s="170"/>
      <c r="I152" s="171"/>
    </row>
    <row r="153" spans="1:9" ht="13.5" hidden="1" thickBot="1" x14ac:dyDescent="0.25">
      <c r="A153" s="367" t="s">
        <v>129</v>
      </c>
      <c r="B153" s="368"/>
      <c r="C153" s="368"/>
      <c r="D153" s="368"/>
      <c r="E153" s="368"/>
      <c r="F153" s="368"/>
      <c r="G153" s="368"/>
      <c r="H153" s="369"/>
      <c r="I153" s="172">
        <f>SUM(I151:I152)</f>
        <v>0</v>
      </c>
    </row>
    <row r="154" spans="1:9" hidden="1" x14ac:dyDescent="0.2"/>
    <row r="155" spans="1:9" hidden="1" x14ac:dyDescent="0.2">
      <c r="A155" s="65" t="s">
        <v>130</v>
      </c>
      <c r="B155" s="370" t="s">
        <v>131</v>
      </c>
      <c r="C155" s="370"/>
      <c r="D155" s="370"/>
      <c r="E155" s="370"/>
      <c r="F155" s="370"/>
      <c r="G155" s="370"/>
      <c r="H155" s="82"/>
      <c r="I155" s="82"/>
    </row>
    <row r="156" spans="1:9" ht="13.5" hidden="1" customHeight="1" thickBot="1" x14ac:dyDescent="0.25">
      <c r="A156" s="475" t="s">
        <v>132</v>
      </c>
      <c r="B156" s="476"/>
      <c r="C156" s="476"/>
      <c r="D156" s="476"/>
      <c r="E156" s="476"/>
      <c r="F156" s="476"/>
      <c r="G156" s="476"/>
      <c r="H156" s="476"/>
      <c r="I156" s="477"/>
    </row>
    <row r="157" spans="1:9" ht="13.5" hidden="1" thickBot="1" x14ac:dyDescent="0.25">
      <c r="A157" s="173"/>
      <c r="B157" s="346" t="s">
        <v>0</v>
      </c>
      <c r="C157" s="347"/>
      <c r="D157" s="347"/>
      <c r="E157" s="347"/>
      <c r="F157" s="347"/>
      <c r="G157" s="347"/>
      <c r="H157" s="348"/>
      <c r="I157" s="160" t="s">
        <v>56</v>
      </c>
    </row>
    <row r="158" spans="1:9" hidden="1" x14ac:dyDescent="0.2">
      <c r="A158" s="174" t="s">
        <v>34</v>
      </c>
      <c r="B158" s="349" t="s">
        <v>133</v>
      </c>
      <c r="C158" s="350"/>
      <c r="D158" s="350"/>
      <c r="E158" s="350"/>
      <c r="F158" s="350"/>
      <c r="G158" s="350"/>
      <c r="H158" s="351"/>
      <c r="I158" s="175">
        <f>I122</f>
        <v>653.8948277469334</v>
      </c>
    </row>
    <row r="159" spans="1:9" hidden="1" x14ac:dyDescent="0.2">
      <c r="A159" s="176" t="s">
        <v>36</v>
      </c>
      <c r="B159" s="352" t="s">
        <v>134</v>
      </c>
      <c r="C159" s="353"/>
      <c r="D159" s="353"/>
      <c r="E159" s="353"/>
      <c r="F159" s="353"/>
      <c r="G159" s="353"/>
      <c r="H159" s="354"/>
      <c r="I159" s="177" t="e">
        <f>#REF!</f>
        <v>#REF!</v>
      </c>
    </row>
    <row r="160" spans="1:9" ht="13.5" hidden="1" thickBot="1" x14ac:dyDescent="0.25">
      <c r="A160" s="176" t="s">
        <v>38</v>
      </c>
      <c r="B160" s="355" t="s">
        <v>135</v>
      </c>
      <c r="C160" s="356"/>
      <c r="D160" s="356"/>
      <c r="E160" s="356"/>
      <c r="F160" s="356"/>
      <c r="G160" s="356"/>
      <c r="H160" s="357"/>
      <c r="I160" s="177">
        <f>I126</f>
        <v>0</v>
      </c>
    </row>
    <row r="161" spans="1:10" ht="13.5" hidden="1" thickBot="1" x14ac:dyDescent="0.25">
      <c r="A161" s="358" t="s">
        <v>10</v>
      </c>
      <c r="B161" s="359"/>
      <c r="C161" s="359"/>
      <c r="D161" s="359"/>
      <c r="E161" s="359"/>
      <c r="F161" s="359"/>
      <c r="G161" s="359"/>
      <c r="H161" s="360"/>
      <c r="I161" s="172" t="e">
        <f>SUM(I158:I160)</f>
        <v>#REF!</v>
      </c>
    </row>
    <row r="162" spans="1:10" hidden="1" x14ac:dyDescent="0.2">
      <c r="A162" s="178" t="s">
        <v>136</v>
      </c>
      <c r="B162" s="13" t="s">
        <v>137</v>
      </c>
    </row>
    <row r="163" spans="1:10" x14ac:dyDescent="0.2">
      <c r="A163" s="157" t="s">
        <v>63</v>
      </c>
      <c r="B163" s="361" t="s">
        <v>109</v>
      </c>
      <c r="C163" s="361"/>
      <c r="D163" s="361"/>
      <c r="E163" s="361"/>
      <c r="F163" s="361"/>
      <c r="G163" s="361"/>
      <c r="H163" s="361"/>
      <c r="I163" s="77">
        <f>I132</f>
        <v>1164.6450234532272</v>
      </c>
    </row>
    <row r="164" spans="1:10" ht="12" customHeight="1" x14ac:dyDescent="0.2">
      <c r="A164" s="362" t="s">
        <v>197</v>
      </c>
      <c r="B164" s="363"/>
      <c r="C164" s="363"/>
      <c r="D164" s="363"/>
      <c r="E164" s="363"/>
      <c r="F164" s="363"/>
      <c r="G164" s="363"/>
      <c r="H164" s="364"/>
      <c r="I164" s="9">
        <f>I133</f>
        <v>4588.7356333118132</v>
      </c>
    </row>
    <row r="165" spans="1:10" x14ac:dyDescent="0.2">
      <c r="A165" s="12"/>
      <c r="B165" s="12"/>
    </row>
    <row r="166" spans="1:10" x14ac:dyDescent="0.2">
      <c r="A166" s="337" t="s">
        <v>28</v>
      </c>
      <c r="B166" s="338"/>
      <c r="C166" s="179" t="s">
        <v>144</v>
      </c>
      <c r="D166" s="339" t="s">
        <v>146</v>
      </c>
      <c r="E166" s="340"/>
      <c r="F166" s="180" t="s">
        <v>145</v>
      </c>
      <c r="J166" s="7"/>
    </row>
    <row r="167" spans="1:10" x14ac:dyDescent="0.2">
      <c r="A167" s="365" t="s">
        <v>1</v>
      </c>
      <c r="B167" s="366"/>
      <c r="C167" s="181">
        <f>'VI - Demonstrativo final-REAL'!G22</f>
        <v>95405.232817780518</v>
      </c>
      <c r="D167" s="341">
        <v>12</v>
      </c>
      <c r="E167" s="341"/>
      <c r="F167" s="182">
        <f>C167*D167</f>
        <v>1144862.7938133662</v>
      </c>
      <c r="J167" s="7"/>
    </row>
    <row r="168" spans="1:10" x14ac:dyDescent="0.2">
      <c r="A168" s="183" t="s">
        <v>30</v>
      </c>
      <c r="B168" s="184"/>
      <c r="C168" s="181">
        <f>'VI - Demonstrativo final-REAL'!G34</f>
        <v>44511.390998406394</v>
      </c>
      <c r="D168" s="341">
        <v>12</v>
      </c>
      <c r="E168" s="341"/>
      <c r="F168" s="182">
        <f>C168*D168</f>
        <v>534136.69198087673</v>
      </c>
    </row>
    <row r="169" spans="1:10" x14ac:dyDescent="0.2">
      <c r="A169" s="183" t="s">
        <v>2</v>
      </c>
      <c r="B169" s="184"/>
      <c r="C169" s="185">
        <f>'VI - Demonstrativo final-REAL'!J40</f>
        <v>530.99103298376144</v>
      </c>
      <c r="D169" s="341">
        <v>12</v>
      </c>
      <c r="E169" s="341"/>
      <c r="F169" s="182">
        <f>C169*D169</f>
        <v>6371.8923958051373</v>
      </c>
    </row>
    <row r="170" spans="1:10" x14ac:dyDescent="0.2">
      <c r="A170" s="342" t="s">
        <v>147</v>
      </c>
      <c r="B170" s="343"/>
      <c r="C170" s="186">
        <f>SUM(C167:C169)</f>
        <v>140447.61484917067</v>
      </c>
      <c r="D170" s="344"/>
      <c r="E170" s="345"/>
      <c r="F170" s="187">
        <f>SUM(F167:F169)</f>
        <v>1685371.378190048</v>
      </c>
    </row>
    <row r="172" spans="1:10" x14ac:dyDescent="0.2">
      <c r="A172" s="13" t="s">
        <v>12</v>
      </c>
      <c r="C172" s="188">
        <f>I164</f>
        <v>4588.7356333118132</v>
      </c>
      <c r="D172" s="13">
        <v>28</v>
      </c>
      <c r="E172" s="188">
        <f>C172*D172</f>
        <v>128484.59773273076</v>
      </c>
      <c r="F172" s="188">
        <f>E172*12</f>
        <v>1541815.172792769</v>
      </c>
    </row>
    <row r="173" spans="1:10" x14ac:dyDescent="0.2">
      <c r="A173" s="13" t="s">
        <v>228</v>
      </c>
      <c r="C173" s="188">
        <f>'SERVENTE REAL - banherista'!I164</f>
        <v>5740.521382032638</v>
      </c>
      <c r="D173" s="13">
        <v>2</v>
      </c>
      <c r="E173" s="188">
        <f t="shared" ref="E173:E174" si="3">C173*D173</f>
        <v>11481.042764065276</v>
      </c>
      <c r="F173" s="188">
        <f t="shared" ref="F173:F174" si="4">E173*12</f>
        <v>137772.51316878331</v>
      </c>
    </row>
    <row r="174" spans="1:10" x14ac:dyDescent="0.2">
      <c r="A174" s="13" t="s">
        <v>229</v>
      </c>
      <c r="C174" s="188">
        <f>ENCARREGADO!I144</f>
        <v>5158.1000000000004</v>
      </c>
      <c r="D174" s="13">
        <v>1</v>
      </c>
      <c r="E174" s="188">
        <f t="shared" si="3"/>
        <v>5158.1000000000004</v>
      </c>
      <c r="F174" s="188">
        <f t="shared" si="4"/>
        <v>61897.200000000004</v>
      </c>
    </row>
    <row r="175" spans="1:10" x14ac:dyDescent="0.2">
      <c r="E175" s="188">
        <f>SUM(E172:E174)</f>
        <v>145123.74049679603</v>
      </c>
      <c r="F175" s="188">
        <f>SUM(F172:F174)</f>
        <v>1741484.8859615524</v>
      </c>
    </row>
  </sheetData>
  <mergeCells count="176">
    <mergeCell ref="A82:I82"/>
    <mergeCell ref="A156:I156"/>
    <mergeCell ref="A116:H116"/>
    <mergeCell ref="A122:A131"/>
    <mergeCell ref="H122:H131"/>
    <mergeCell ref="B124:D124"/>
    <mergeCell ref="B125:D125"/>
    <mergeCell ref="B126:D126"/>
    <mergeCell ref="B128:D128"/>
    <mergeCell ref="B130:D130"/>
    <mergeCell ref="B131:D131"/>
    <mergeCell ref="A132:G132"/>
    <mergeCell ref="I122:I131"/>
    <mergeCell ref="B119:G119"/>
    <mergeCell ref="B120:G120"/>
    <mergeCell ref="B121:G121"/>
    <mergeCell ref="B122:G122"/>
    <mergeCell ref="B123:G123"/>
    <mergeCell ref="B155:G155"/>
    <mergeCell ref="A150:B150"/>
    <mergeCell ref="C150:D150"/>
    <mergeCell ref="E150:F150"/>
    <mergeCell ref="A151:B151"/>
    <mergeCell ref="A83:I83"/>
    <mergeCell ref="E151:F151"/>
    <mergeCell ref="A55:I55"/>
    <mergeCell ref="A1:I1"/>
    <mergeCell ref="A5:G5"/>
    <mergeCell ref="A6:I6"/>
    <mergeCell ref="B7:H7"/>
    <mergeCell ref="B8:H8"/>
    <mergeCell ref="B19:H19"/>
    <mergeCell ref="B20:H20"/>
    <mergeCell ref="B22:H22"/>
    <mergeCell ref="A14:B14"/>
    <mergeCell ref="C14:D14"/>
    <mergeCell ref="E14:I14"/>
    <mergeCell ref="B9:H9"/>
    <mergeCell ref="B10:H10"/>
    <mergeCell ref="A12:I12"/>
    <mergeCell ref="A13:B13"/>
    <mergeCell ref="C13:D13"/>
    <mergeCell ref="E13:I13"/>
    <mergeCell ref="A24:I24"/>
    <mergeCell ref="A25:I25"/>
    <mergeCell ref="B26:G26"/>
    <mergeCell ref="A16:I16"/>
    <mergeCell ref="B17:H17"/>
    <mergeCell ref="B18:H18"/>
    <mergeCell ref="B32:G32"/>
    <mergeCell ref="A33:H33"/>
    <mergeCell ref="A36:I36"/>
    <mergeCell ref="A37:G37"/>
    <mergeCell ref="B38:G38"/>
    <mergeCell ref="B39:G39"/>
    <mergeCell ref="B27:G27"/>
    <mergeCell ref="B28:G28"/>
    <mergeCell ref="B29:G29"/>
    <mergeCell ref="B30:G30"/>
    <mergeCell ref="B31:G31"/>
    <mergeCell ref="A34:I34"/>
    <mergeCell ref="B21:H21"/>
    <mergeCell ref="B49:G49"/>
    <mergeCell ref="A42:I42"/>
    <mergeCell ref="B50:G50"/>
    <mergeCell ref="B51:G51"/>
    <mergeCell ref="B52:G52"/>
    <mergeCell ref="B53:G53"/>
    <mergeCell ref="A54:G54"/>
    <mergeCell ref="A40:G40"/>
    <mergeCell ref="B46:G46"/>
    <mergeCell ref="B47:G47"/>
    <mergeCell ref="B48:G48"/>
    <mergeCell ref="A44:H44"/>
    <mergeCell ref="A45:G45"/>
    <mergeCell ref="A62:H62"/>
    <mergeCell ref="A63:I63"/>
    <mergeCell ref="A65:I65"/>
    <mergeCell ref="A66:H66"/>
    <mergeCell ref="B67:H67"/>
    <mergeCell ref="B68:H68"/>
    <mergeCell ref="A56:I56"/>
    <mergeCell ref="A57:G57"/>
    <mergeCell ref="B58:G58"/>
    <mergeCell ref="B59:G59"/>
    <mergeCell ref="B60:G60"/>
    <mergeCell ref="B61:G61"/>
    <mergeCell ref="B76:G76"/>
    <mergeCell ref="B77:G77"/>
    <mergeCell ref="B78:G78"/>
    <mergeCell ref="B79:G79"/>
    <mergeCell ref="B80:G80"/>
    <mergeCell ref="A81:G81"/>
    <mergeCell ref="B69:H69"/>
    <mergeCell ref="A70:H70"/>
    <mergeCell ref="A71:I71"/>
    <mergeCell ref="B74:G74"/>
    <mergeCell ref="B75:G75"/>
    <mergeCell ref="A72:H72"/>
    <mergeCell ref="A73:H73"/>
    <mergeCell ref="B91:G91"/>
    <mergeCell ref="B92:G92"/>
    <mergeCell ref="B93:G93"/>
    <mergeCell ref="A96:I96"/>
    <mergeCell ref="A97:G97"/>
    <mergeCell ref="A85:I85"/>
    <mergeCell ref="A87:G87"/>
    <mergeCell ref="B88:G88"/>
    <mergeCell ref="B89:G89"/>
    <mergeCell ref="B90:G90"/>
    <mergeCell ref="A86:H86"/>
    <mergeCell ref="A94:G94"/>
    <mergeCell ref="A95:I95"/>
    <mergeCell ref="B104:H104"/>
    <mergeCell ref="A105:H105"/>
    <mergeCell ref="A106:I106"/>
    <mergeCell ref="A107:I107"/>
    <mergeCell ref="B108:G108"/>
    <mergeCell ref="B109:G109"/>
    <mergeCell ref="B98:G98"/>
    <mergeCell ref="A99:G99"/>
    <mergeCell ref="A100:I100"/>
    <mergeCell ref="A101:I101"/>
    <mergeCell ref="A102:H102"/>
    <mergeCell ref="B103:H103"/>
    <mergeCell ref="B110:G110"/>
    <mergeCell ref="B112:G112"/>
    <mergeCell ref="A113:G113"/>
    <mergeCell ref="A118:I118"/>
    <mergeCell ref="A135:I135"/>
    <mergeCell ref="A136:H136"/>
    <mergeCell ref="B137:H137"/>
    <mergeCell ref="B138:H138"/>
    <mergeCell ref="B127:G127"/>
    <mergeCell ref="B129:G129"/>
    <mergeCell ref="A115:H115"/>
    <mergeCell ref="B111:G111"/>
    <mergeCell ref="A153:H153"/>
    <mergeCell ref="B145:G145"/>
    <mergeCell ref="A146:B146"/>
    <mergeCell ref="C146:D146"/>
    <mergeCell ref="E146:F146"/>
    <mergeCell ref="A147:B147"/>
    <mergeCell ref="C147:D147"/>
    <mergeCell ref="E147:F147"/>
    <mergeCell ref="B139:H139"/>
    <mergeCell ref="B140:H140"/>
    <mergeCell ref="B141:H141"/>
    <mergeCell ref="B142:H142"/>
    <mergeCell ref="B143:H143"/>
    <mergeCell ref="A144:H144"/>
    <mergeCell ref="A148:B148"/>
    <mergeCell ref="C148:D148"/>
    <mergeCell ref="E148:F148"/>
    <mergeCell ref="A149:B149"/>
    <mergeCell ref="C149:D149"/>
    <mergeCell ref="E149:F149"/>
    <mergeCell ref="A152:B152"/>
    <mergeCell ref="C152:D152"/>
    <mergeCell ref="E152:F152"/>
    <mergeCell ref="C151:D151"/>
    <mergeCell ref="A166:B166"/>
    <mergeCell ref="D166:E166"/>
    <mergeCell ref="D167:E167"/>
    <mergeCell ref="D168:E168"/>
    <mergeCell ref="D169:E169"/>
    <mergeCell ref="A170:B170"/>
    <mergeCell ref="D170:E170"/>
    <mergeCell ref="B157:H157"/>
    <mergeCell ref="B158:H158"/>
    <mergeCell ref="B159:H159"/>
    <mergeCell ref="B160:H160"/>
    <mergeCell ref="A161:H161"/>
    <mergeCell ref="B163:H163"/>
    <mergeCell ref="A164:H164"/>
    <mergeCell ref="A167:B167"/>
  </mergeCells>
  <pageMargins left="0.78740157480314965" right="0.59055118110236227" top="1.5748031496062993" bottom="0.59055118110236227" header="0.31496062992125984" footer="0.31496062992125984"/>
  <pageSetup paperSize="9" scale="75" firstPageNumber="0" orientation="portrait" horizontalDpi="300" verticalDpi="300" r:id="rId1"/>
  <headerFooter>
    <oddHeader>&amp;C&amp;G</oddHeader>
    <oddFooter>&amp;L&amp;D&amp;C&amp;Z&amp;F&amp;RPágina &amp;P</oddFooter>
  </headerFooter>
  <rowBreaks count="2" manualBreakCount="2">
    <brk id="54" max="8" man="1"/>
    <brk id="94"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sheetPr>
  <dimension ref="A1:L170"/>
  <sheetViews>
    <sheetView view="pageBreakPreview" topLeftCell="A43" zoomScaleNormal="90" zoomScaleSheetLayoutView="100" workbookViewId="0">
      <selection activeCell="A55" sqref="A55:I55"/>
    </sheetView>
  </sheetViews>
  <sheetFormatPr defaultColWidth="9.28515625" defaultRowHeight="12.75" x14ac:dyDescent="0.2"/>
  <cols>
    <col min="1" max="1" width="10" style="13" bestFit="1" customWidth="1"/>
    <col min="2" max="2" width="9.28515625" style="13"/>
    <col min="3" max="3" width="11.7109375" style="13" customWidth="1"/>
    <col min="4" max="4" width="9.28515625" style="13" customWidth="1"/>
    <col min="5" max="5" width="13.7109375" style="13" customWidth="1"/>
    <col min="6" max="6" width="15.42578125" style="13" customWidth="1"/>
    <col min="7" max="7" width="16.28515625" style="13" customWidth="1"/>
    <col min="8" max="8" width="11.28515625" style="13" customWidth="1"/>
    <col min="9" max="9" width="13.28515625" style="13" customWidth="1"/>
    <col min="10" max="10" width="7.28515625" style="13" customWidth="1"/>
    <col min="11" max="11" width="5.28515625" style="13" customWidth="1"/>
    <col min="12" max="12" width="8.5703125" style="13" customWidth="1"/>
    <col min="13" max="13" width="9.5703125" style="13" bestFit="1" customWidth="1"/>
    <col min="14" max="16384" width="9.28515625" style="13"/>
  </cols>
  <sheetData>
    <row r="1" spans="1:9" x14ac:dyDescent="0.2">
      <c r="A1" s="466" t="s">
        <v>202</v>
      </c>
      <c r="B1" s="466"/>
      <c r="C1" s="466"/>
      <c r="D1" s="466"/>
      <c r="E1" s="466"/>
      <c r="F1" s="466"/>
      <c r="G1" s="466"/>
      <c r="H1" s="466"/>
      <c r="I1" s="466"/>
    </row>
    <row r="2" spans="1:9" x14ac:dyDescent="0.2">
      <c r="A2" s="61" t="s">
        <v>412</v>
      </c>
      <c r="B2" s="61"/>
      <c r="C2" s="61"/>
      <c r="D2" s="61"/>
      <c r="E2" s="61"/>
      <c r="F2" s="61"/>
      <c r="G2" s="61"/>
      <c r="H2" s="61"/>
      <c r="I2" s="61"/>
    </row>
    <row r="3" spans="1:9" x14ac:dyDescent="0.2">
      <c r="A3" s="61" t="s">
        <v>138</v>
      </c>
      <c r="B3" s="61"/>
      <c r="C3" s="61"/>
      <c r="D3" s="61"/>
      <c r="E3" s="61"/>
      <c r="F3" s="61"/>
      <c r="G3" s="61"/>
      <c r="H3" s="61"/>
      <c r="I3" s="61"/>
    </row>
    <row r="4" spans="1:9" x14ac:dyDescent="0.2">
      <c r="A4" s="199" t="s">
        <v>209</v>
      </c>
      <c r="B4" s="199"/>
      <c r="C4" s="199"/>
      <c r="D4" s="199"/>
      <c r="E4" s="199"/>
      <c r="F4" s="199"/>
      <c r="G4" s="199"/>
      <c r="H4" s="61"/>
      <c r="I4" s="61"/>
    </row>
    <row r="5" spans="1:9" x14ac:dyDescent="0.2">
      <c r="A5" s="467" t="s">
        <v>148</v>
      </c>
      <c r="B5" s="467"/>
      <c r="C5" s="467"/>
      <c r="D5" s="467"/>
      <c r="E5" s="467"/>
      <c r="F5" s="467"/>
      <c r="G5" s="467"/>
      <c r="H5" s="61"/>
      <c r="I5" s="61"/>
    </row>
    <row r="6" spans="1:9" x14ac:dyDescent="0.2">
      <c r="A6" s="468" t="s">
        <v>33</v>
      </c>
      <c r="B6" s="468"/>
      <c r="C6" s="468"/>
      <c r="D6" s="468"/>
      <c r="E6" s="468"/>
      <c r="F6" s="468"/>
      <c r="G6" s="468"/>
      <c r="H6" s="468"/>
      <c r="I6" s="468"/>
    </row>
    <row r="7" spans="1:9" x14ac:dyDescent="0.2">
      <c r="A7" s="62" t="s">
        <v>34</v>
      </c>
      <c r="B7" s="361" t="s">
        <v>35</v>
      </c>
      <c r="C7" s="361"/>
      <c r="D7" s="361"/>
      <c r="E7" s="361"/>
      <c r="F7" s="361"/>
      <c r="G7" s="361"/>
      <c r="H7" s="361"/>
      <c r="I7" s="63"/>
    </row>
    <row r="8" spans="1:9" x14ac:dyDescent="0.2">
      <c r="A8" s="62" t="s">
        <v>36</v>
      </c>
      <c r="B8" s="361" t="s">
        <v>37</v>
      </c>
      <c r="C8" s="361"/>
      <c r="D8" s="361"/>
      <c r="E8" s="361"/>
      <c r="F8" s="361"/>
      <c r="G8" s="361"/>
      <c r="H8" s="361"/>
      <c r="I8" s="64" t="s">
        <v>139</v>
      </c>
    </row>
    <row r="9" spans="1:9" x14ac:dyDescent="0.2">
      <c r="A9" s="62" t="s">
        <v>38</v>
      </c>
      <c r="B9" s="361" t="s">
        <v>203</v>
      </c>
      <c r="C9" s="361"/>
      <c r="D9" s="361"/>
      <c r="E9" s="361"/>
      <c r="F9" s="361"/>
      <c r="G9" s="361"/>
      <c r="H9" s="361"/>
      <c r="I9" s="62" t="s">
        <v>416</v>
      </c>
    </row>
    <row r="10" spans="1:9" x14ac:dyDescent="0.2">
      <c r="A10" s="62" t="s">
        <v>39</v>
      </c>
      <c r="B10" s="361" t="s">
        <v>40</v>
      </c>
      <c r="C10" s="361"/>
      <c r="D10" s="361"/>
      <c r="E10" s="361"/>
      <c r="F10" s="361"/>
      <c r="G10" s="361"/>
      <c r="H10" s="361"/>
      <c r="I10" s="62">
        <v>12</v>
      </c>
    </row>
    <row r="11" spans="1:9" x14ac:dyDescent="0.2">
      <c r="A11" s="65"/>
      <c r="B11" s="66"/>
      <c r="C11" s="66"/>
      <c r="D11" s="66"/>
      <c r="E11" s="66"/>
      <c r="F11" s="66"/>
      <c r="G11" s="66"/>
      <c r="H11" s="65"/>
      <c r="I11" s="65"/>
    </row>
    <row r="12" spans="1:9" x14ac:dyDescent="0.2">
      <c r="A12" s="468" t="s">
        <v>41</v>
      </c>
      <c r="B12" s="468"/>
      <c r="C12" s="468"/>
      <c r="D12" s="468"/>
      <c r="E12" s="468"/>
      <c r="F12" s="468"/>
      <c r="G12" s="468"/>
      <c r="H12" s="468"/>
      <c r="I12" s="468"/>
    </row>
    <row r="13" spans="1:9" x14ac:dyDescent="0.2">
      <c r="A13" s="380" t="s">
        <v>42</v>
      </c>
      <c r="B13" s="380"/>
      <c r="C13" s="380" t="s">
        <v>43</v>
      </c>
      <c r="D13" s="380"/>
      <c r="E13" s="380" t="s">
        <v>44</v>
      </c>
      <c r="F13" s="380"/>
      <c r="G13" s="380"/>
      <c r="H13" s="380"/>
      <c r="I13" s="380"/>
    </row>
    <row r="14" spans="1:9" x14ac:dyDescent="0.2">
      <c r="A14" s="380" t="s">
        <v>45</v>
      </c>
      <c r="B14" s="380"/>
      <c r="C14" s="380" t="s">
        <v>46</v>
      </c>
      <c r="D14" s="380"/>
      <c r="E14" s="380">
        <v>2</v>
      </c>
      <c r="F14" s="380"/>
      <c r="G14" s="380"/>
      <c r="H14" s="380"/>
      <c r="I14" s="380"/>
    </row>
    <row r="15" spans="1:9" x14ac:dyDescent="0.2">
      <c r="A15" s="65"/>
      <c r="B15" s="66"/>
      <c r="C15" s="66"/>
      <c r="D15" s="66"/>
      <c r="E15" s="66"/>
      <c r="F15" s="66"/>
      <c r="G15" s="66"/>
      <c r="H15" s="65"/>
      <c r="I15" s="65"/>
    </row>
    <row r="16" spans="1:9" x14ac:dyDescent="0.2">
      <c r="A16" s="468" t="s">
        <v>47</v>
      </c>
      <c r="B16" s="468"/>
      <c r="C16" s="468"/>
      <c r="D16" s="468"/>
      <c r="E16" s="468"/>
      <c r="F16" s="468"/>
      <c r="G16" s="468"/>
      <c r="H16" s="468"/>
      <c r="I16" s="468"/>
    </row>
    <row r="17" spans="1:10" ht="25.5" x14ac:dyDescent="0.2">
      <c r="A17" s="62">
        <v>1</v>
      </c>
      <c r="B17" s="361" t="s">
        <v>48</v>
      </c>
      <c r="C17" s="361"/>
      <c r="D17" s="361"/>
      <c r="E17" s="361"/>
      <c r="F17" s="361"/>
      <c r="G17" s="361"/>
      <c r="H17" s="361"/>
      <c r="I17" s="68" t="s">
        <v>140</v>
      </c>
    </row>
    <row r="18" spans="1:10" x14ac:dyDescent="0.2">
      <c r="A18" s="62">
        <v>2</v>
      </c>
      <c r="B18" s="361" t="s">
        <v>49</v>
      </c>
      <c r="C18" s="361"/>
      <c r="D18" s="361"/>
      <c r="E18" s="361"/>
      <c r="F18" s="361"/>
      <c r="G18" s="361"/>
      <c r="H18" s="361"/>
      <c r="I18" s="62" t="s">
        <v>141</v>
      </c>
    </row>
    <row r="19" spans="1:10" x14ac:dyDescent="0.2">
      <c r="A19" s="62">
        <v>3</v>
      </c>
      <c r="B19" s="361" t="s">
        <v>50</v>
      </c>
      <c r="C19" s="361"/>
      <c r="D19" s="361"/>
      <c r="E19" s="361"/>
      <c r="F19" s="361"/>
      <c r="G19" s="361"/>
      <c r="H19" s="361"/>
      <c r="I19" s="69">
        <v>1240</v>
      </c>
      <c r="J19" s="70"/>
    </row>
    <row r="20" spans="1:10" ht="25.5" x14ac:dyDescent="0.2">
      <c r="A20" s="16">
        <v>4</v>
      </c>
      <c r="B20" s="502" t="s">
        <v>51</v>
      </c>
      <c r="C20" s="502"/>
      <c r="D20" s="502"/>
      <c r="E20" s="502"/>
      <c r="F20" s="502"/>
      <c r="G20" s="502"/>
      <c r="H20" s="502"/>
      <c r="I20" s="193" t="s">
        <v>395</v>
      </c>
    </row>
    <row r="21" spans="1:10" x14ac:dyDescent="0.2">
      <c r="A21" s="16">
        <v>5</v>
      </c>
      <c r="B21" s="461" t="s">
        <v>402</v>
      </c>
      <c r="C21" s="462"/>
      <c r="D21" s="462"/>
      <c r="E21" s="462"/>
      <c r="F21" s="462"/>
      <c r="G21" s="462"/>
      <c r="H21" s="463"/>
      <c r="I21" s="201">
        <v>26</v>
      </c>
    </row>
    <row r="22" spans="1:10" x14ac:dyDescent="0.2">
      <c r="A22" s="67">
        <v>6</v>
      </c>
      <c r="B22" s="361" t="s">
        <v>52</v>
      </c>
      <c r="C22" s="361"/>
      <c r="D22" s="361"/>
      <c r="E22" s="361"/>
      <c r="F22" s="361"/>
      <c r="G22" s="361"/>
      <c r="H22" s="361"/>
      <c r="I22" s="63">
        <v>44562</v>
      </c>
    </row>
    <row r="23" spans="1:10" x14ac:dyDescent="0.2">
      <c r="A23" s="72"/>
      <c r="B23" s="73"/>
      <c r="C23" s="73"/>
      <c r="D23" s="73"/>
      <c r="E23" s="73"/>
      <c r="F23" s="73"/>
      <c r="G23" s="73"/>
      <c r="H23" s="73"/>
      <c r="I23" s="74"/>
    </row>
    <row r="24" spans="1:10" ht="21.75" customHeight="1" x14ac:dyDescent="0.2">
      <c r="A24" s="469" t="s">
        <v>171</v>
      </c>
      <c r="B24" s="470"/>
      <c r="C24" s="470"/>
      <c r="D24" s="470"/>
      <c r="E24" s="470"/>
      <c r="F24" s="470"/>
      <c r="G24" s="470"/>
      <c r="H24" s="470"/>
      <c r="I24" s="471"/>
    </row>
    <row r="25" spans="1:10" x14ac:dyDescent="0.2">
      <c r="A25" s="407" t="s">
        <v>53</v>
      </c>
      <c r="B25" s="407"/>
      <c r="C25" s="407"/>
      <c r="D25" s="407"/>
      <c r="E25" s="407"/>
      <c r="F25" s="407"/>
      <c r="G25" s="407"/>
      <c r="H25" s="407"/>
      <c r="I25" s="407"/>
    </row>
    <row r="26" spans="1:10" x14ac:dyDescent="0.2">
      <c r="A26" s="75">
        <v>1</v>
      </c>
      <c r="B26" s="379" t="s">
        <v>54</v>
      </c>
      <c r="C26" s="379"/>
      <c r="D26" s="379"/>
      <c r="E26" s="379"/>
      <c r="F26" s="379"/>
      <c r="G26" s="379"/>
      <c r="H26" s="75" t="s">
        <v>55</v>
      </c>
      <c r="I26" s="75" t="s">
        <v>56</v>
      </c>
    </row>
    <row r="27" spans="1:10" x14ac:dyDescent="0.2">
      <c r="A27" s="75" t="s">
        <v>34</v>
      </c>
      <c r="B27" s="361" t="s">
        <v>57</v>
      </c>
      <c r="C27" s="361"/>
      <c r="D27" s="361"/>
      <c r="E27" s="361"/>
      <c r="F27" s="361"/>
      <c r="G27" s="361"/>
      <c r="H27" s="17"/>
      <c r="I27" s="77">
        <v>1240</v>
      </c>
    </row>
    <row r="28" spans="1:10" x14ac:dyDescent="0.2">
      <c r="A28" s="75" t="s">
        <v>36</v>
      </c>
      <c r="B28" s="361" t="s">
        <v>58</v>
      </c>
      <c r="C28" s="361"/>
      <c r="D28" s="361"/>
      <c r="E28" s="361"/>
      <c r="F28" s="361"/>
      <c r="G28" s="361"/>
      <c r="H28" s="78"/>
      <c r="I28" s="77">
        <v>0</v>
      </c>
    </row>
    <row r="29" spans="1:10" x14ac:dyDescent="0.2">
      <c r="A29" s="75" t="s">
        <v>38</v>
      </c>
      <c r="B29" s="361" t="s">
        <v>397</v>
      </c>
      <c r="C29" s="361"/>
      <c r="D29" s="361"/>
      <c r="E29" s="361"/>
      <c r="F29" s="361"/>
      <c r="G29" s="361"/>
      <c r="H29" s="78">
        <v>0.4</v>
      </c>
      <c r="I29" s="77">
        <f>1212*H29</f>
        <v>484.8</v>
      </c>
    </row>
    <row r="30" spans="1:10" x14ac:dyDescent="0.2">
      <c r="A30" s="75" t="s">
        <v>39</v>
      </c>
      <c r="B30" s="361" t="s">
        <v>60</v>
      </c>
      <c r="C30" s="361"/>
      <c r="D30" s="361"/>
      <c r="E30" s="361"/>
      <c r="F30" s="361"/>
      <c r="G30" s="361"/>
      <c r="H30" s="78"/>
      <c r="I30" s="77">
        <v>0</v>
      </c>
    </row>
    <row r="31" spans="1:10" x14ac:dyDescent="0.2">
      <c r="A31" s="79" t="s">
        <v>61</v>
      </c>
      <c r="B31" s="361" t="s">
        <v>62</v>
      </c>
      <c r="C31" s="361"/>
      <c r="D31" s="361"/>
      <c r="E31" s="361"/>
      <c r="F31" s="361"/>
      <c r="G31" s="361"/>
      <c r="H31" s="80"/>
      <c r="I31" s="77">
        <v>0</v>
      </c>
    </row>
    <row r="32" spans="1:10" x14ac:dyDescent="0.2">
      <c r="A32" s="79" t="s">
        <v>63</v>
      </c>
      <c r="B32" s="361" t="s">
        <v>65</v>
      </c>
      <c r="C32" s="361"/>
      <c r="D32" s="361"/>
      <c r="E32" s="361"/>
      <c r="F32" s="361"/>
      <c r="G32" s="361"/>
      <c r="H32" s="78"/>
      <c r="I32" s="77">
        <v>0</v>
      </c>
    </row>
    <row r="33" spans="1:12" x14ac:dyDescent="0.2">
      <c r="A33" s="454" t="s">
        <v>66</v>
      </c>
      <c r="B33" s="455"/>
      <c r="C33" s="455"/>
      <c r="D33" s="455"/>
      <c r="E33" s="455"/>
      <c r="F33" s="455"/>
      <c r="G33" s="455"/>
      <c r="H33" s="456"/>
      <c r="I33" s="81">
        <f>SUM(I27:I32)</f>
        <v>1724.8</v>
      </c>
    </row>
    <row r="34" spans="1:12" x14ac:dyDescent="0.2">
      <c r="A34" s="460" t="s">
        <v>179</v>
      </c>
      <c r="B34" s="460"/>
      <c r="C34" s="460"/>
      <c r="D34" s="460"/>
      <c r="E34" s="460"/>
      <c r="F34" s="460"/>
      <c r="G34" s="460"/>
      <c r="H34" s="460"/>
      <c r="I34" s="460"/>
    </row>
    <row r="35" spans="1:12" x14ac:dyDescent="0.2">
      <c r="A35" s="82"/>
      <c r="B35" s="82"/>
      <c r="C35" s="82"/>
      <c r="D35" s="82"/>
      <c r="E35" s="82"/>
      <c r="F35" s="82"/>
      <c r="G35" s="82"/>
      <c r="H35" s="82"/>
      <c r="I35" s="83"/>
    </row>
    <row r="36" spans="1:12" x14ac:dyDescent="0.2">
      <c r="A36" s="407" t="s">
        <v>67</v>
      </c>
      <c r="B36" s="407"/>
      <c r="C36" s="407"/>
      <c r="D36" s="407"/>
      <c r="E36" s="407"/>
      <c r="F36" s="407"/>
      <c r="G36" s="407"/>
      <c r="H36" s="407"/>
      <c r="I36" s="407"/>
      <c r="J36" s="84"/>
    </row>
    <row r="37" spans="1:12" x14ac:dyDescent="0.2">
      <c r="A37" s="379" t="s">
        <v>68</v>
      </c>
      <c r="B37" s="379"/>
      <c r="C37" s="379"/>
      <c r="D37" s="379"/>
      <c r="E37" s="379"/>
      <c r="F37" s="379"/>
      <c r="G37" s="379"/>
      <c r="H37" s="75" t="s">
        <v>55</v>
      </c>
      <c r="I37" s="75" t="s">
        <v>56</v>
      </c>
      <c r="J37" s="84"/>
    </row>
    <row r="38" spans="1:12" x14ac:dyDescent="0.2">
      <c r="A38" s="75" t="s">
        <v>34</v>
      </c>
      <c r="B38" s="361" t="s">
        <v>385</v>
      </c>
      <c r="C38" s="361"/>
      <c r="D38" s="361"/>
      <c r="E38" s="361"/>
      <c r="F38" s="361"/>
      <c r="G38" s="361"/>
      <c r="H38" s="85">
        <v>8.3299999999999999E-2</v>
      </c>
      <c r="I38" s="8">
        <f>$I$33*H38</f>
        <v>143.67583999999999</v>
      </c>
      <c r="J38" s="87"/>
    </row>
    <row r="39" spans="1:12" ht="16.5" customHeight="1" x14ac:dyDescent="0.2">
      <c r="A39" s="75" t="s">
        <v>36</v>
      </c>
      <c r="B39" s="457" t="s">
        <v>386</v>
      </c>
      <c r="C39" s="458"/>
      <c r="D39" s="458"/>
      <c r="E39" s="458"/>
      <c r="F39" s="458"/>
      <c r="G39" s="459"/>
      <c r="H39" s="88">
        <v>0.121</v>
      </c>
      <c r="I39" s="8">
        <f>$I$33*H39</f>
        <v>208.70079999999999</v>
      </c>
      <c r="J39" s="202"/>
    </row>
    <row r="40" spans="1:12" x14ac:dyDescent="0.2">
      <c r="A40" s="379" t="s">
        <v>69</v>
      </c>
      <c r="B40" s="379"/>
      <c r="C40" s="379"/>
      <c r="D40" s="379"/>
      <c r="E40" s="379"/>
      <c r="F40" s="379"/>
      <c r="G40" s="379"/>
      <c r="H40" s="89">
        <v>0.20430000000000001</v>
      </c>
      <c r="I40" s="10">
        <f>SUM(I38,I39)</f>
        <v>352.37663999999995</v>
      </c>
      <c r="J40" s="84"/>
    </row>
    <row r="41" spans="1:12" x14ac:dyDescent="0.2">
      <c r="A41" s="82"/>
      <c r="B41" s="82"/>
      <c r="C41" s="82"/>
      <c r="D41" s="82"/>
      <c r="E41" s="82"/>
      <c r="F41" s="82"/>
      <c r="G41" s="82"/>
      <c r="H41" s="91"/>
      <c r="I41" s="92"/>
      <c r="J41" s="93"/>
      <c r="L41" s="94"/>
    </row>
    <row r="42" spans="1:12" ht="130.15" customHeight="1" x14ac:dyDescent="0.2">
      <c r="A42" s="433" t="s">
        <v>405</v>
      </c>
      <c r="B42" s="449"/>
      <c r="C42" s="449"/>
      <c r="D42" s="449"/>
      <c r="E42" s="449"/>
      <c r="F42" s="449"/>
      <c r="G42" s="449"/>
      <c r="H42" s="449"/>
      <c r="I42" s="450"/>
      <c r="J42" s="84"/>
    </row>
    <row r="43" spans="1:12" x14ac:dyDescent="0.2">
      <c r="A43" s="82"/>
      <c r="B43" s="82"/>
      <c r="C43" s="82"/>
      <c r="D43" s="82"/>
      <c r="E43" s="82"/>
      <c r="F43" s="82"/>
      <c r="G43" s="82"/>
      <c r="H43" s="91"/>
      <c r="I43" s="92"/>
      <c r="J43" s="84"/>
    </row>
    <row r="44" spans="1:12" ht="33" customHeight="1" x14ac:dyDescent="0.2">
      <c r="A44" s="452" t="s">
        <v>180</v>
      </c>
      <c r="B44" s="453"/>
      <c r="C44" s="453"/>
      <c r="D44" s="453"/>
      <c r="E44" s="453"/>
      <c r="F44" s="453"/>
      <c r="G44" s="453"/>
      <c r="H44" s="453"/>
      <c r="I44" s="95">
        <f>I33+I40</f>
        <v>2077.1766399999997</v>
      </c>
      <c r="J44" s="84"/>
      <c r="L44" s="96"/>
    </row>
    <row r="45" spans="1:12" x14ac:dyDescent="0.2">
      <c r="A45" s="445" t="s">
        <v>70</v>
      </c>
      <c r="B45" s="445"/>
      <c r="C45" s="445"/>
      <c r="D45" s="445"/>
      <c r="E45" s="445"/>
      <c r="F45" s="445"/>
      <c r="G45" s="445"/>
      <c r="H45" s="97" t="s">
        <v>55</v>
      </c>
      <c r="I45" s="97" t="s">
        <v>56</v>
      </c>
      <c r="J45" s="84"/>
      <c r="K45" s="98"/>
      <c r="L45" s="96"/>
    </row>
    <row r="46" spans="1:12" x14ac:dyDescent="0.2">
      <c r="A46" s="75" t="s">
        <v>34</v>
      </c>
      <c r="B46" s="361" t="s">
        <v>71</v>
      </c>
      <c r="C46" s="361"/>
      <c r="D46" s="361"/>
      <c r="E46" s="361"/>
      <c r="F46" s="361"/>
      <c r="G46" s="361"/>
      <c r="H46" s="85">
        <v>0.2</v>
      </c>
      <c r="I46" s="8">
        <f>H46*$I$44</f>
        <v>415.43532799999997</v>
      </c>
      <c r="J46" s="99"/>
    </row>
    <row r="47" spans="1:12" x14ac:dyDescent="0.2">
      <c r="A47" s="75" t="s">
        <v>36</v>
      </c>
      <c r="B47" s="361" t="s">
        <v>72</v>
      </c>
      <c r="C47" s="361"/>
      <c r="D47" s="361"/>
      <c r="E47" s="361"/>
      <c r="F47" s="361"/>
      <c r="G47" s="361"/>
      <c r="H47" s="85">
        <v>2.5000000000000001E-2</v>
      </c>
      <c r="I47" s="8">
        <f t="shared" ref="I47:I53" si="0">H47*$I$44</f>
        <v>51.929415999999996</v>
      </c>
      <c r="J47" s="84"/>
    </row>
    <row r="48" spans="1:12" x14ac:dyDescent="0.2">
      <c r="A48" s="75" t="s">
        <v>38</v>
      </c>
      <c r="B48" s="361" t="s">
        <v>73</v>
      </c>
      <c r="C48" s="361"/>
      <c r="D48" s="361"/>
      <c r="E48" s="361"/>
      <c r="F48" s="361"/>
      <c r="G48" s="361"/>
      <c r="H48" s="85">
        <v>0.03</v>
      </c>
      <c r="I48" s="8">
        <f t="shared" si="0"/>
        <v>62.315299199999991</v>
      </c>
      <c r="J48" s="100"/>
    </row>
    <row r="49" spans="1:11" x14ac:dyDescent="0.2">
      <c r="A49" s="75" t="s">
        <v>39</v>
      </c>
      <c r="B49" s="361" t="s">
        <v>74</v>
      </c>
      <c r="C49" s="361"/>
      <c r="D49" s="361"/>
      <c r="E49" s="361"/>
      <c r="F49" s="361"/>
      <c r="G49" s="361"/>
      <c r="H49" s="85">
        <v>1.4999999999999999E-2</v>
      </c>
      <c r="I49" s="8">
        <f t="shared" si="0"/>
        <v>31.157649599999996</v>
      </c>
      <c r="J49" s="84"/>
    </row>
    <row r="50" spans="1:11" x14ac:dyDescent="0.2">
      <c r="A50" s="75" t="s">
        <v>61</v>
      </c>
      <c r="B50" s="361" t="s">
        <v>75</v>
      </c>
      <c r="C50" s="361"/>
      <c r="D50" s="361"/>
      <c r="E50" s="361"/>
      <c r="F50" s="361"/>
      <c r="G50" s="361"/>
      <c r="H50" s="85">
        <v>0.01</v>
      </c>
      <c r="I50" s="8">
        <f t="shared" si="0"/>
        <v>20.771766399999997</v>
      </c>
      <c r="J50" s="84"/>
    </row>
    <row r="51" spans="1:11" x14ac:dyDescent="0.2">
      <c r="A51" s="75" t="s">
        <v>63</v>
      </c>
      <c r="B51" s="361" t="s">
        <v>76</v>
      </c>
      <c r="C51" s="361"/>
      <c r="D51" s="361"/>
      <c r="E51" s="361"/>
      <c r="F51" s="361"/>
      <c r="G51" s="361"/>
      <c r="H51" s="85">
        <v>6.0000000000000001E-3</v>
      </c>
      <c r="I51" s="8">
        <f t="shared" si="0"/>
        <v>12.463059839999998</v>
      </c>
      <c r="J51" s="84"/>
    </row>
    <row r="52" spans="1:11" x14ac:dyDescent="0.2">
      <c r="A52" s="75" t="s">
        <v>64</v>
      </c>
      <c r="B52" s="361" t="s">
        <v>77</v>
      </c>
      <c r="C52" s="361"/>
      <c r="D52" s="361"/>
      <c r="E52" s="361"/>
      <c r="F52" s="361"/>
      <c r="G52" s="361"/>
      <c r="H52" s="85">
        <v>2E-3</v>
      </c>
      <c r="I52" s="8">
        <f t="shared" si="0"/>
        <v>4.1543532799999996</v>
      </c>
      <c r="J52" s="84"/>
      <c r="K52" s="101"/>
    </row>
    <row r="53" spans="1:11" ht="13.5" customHeight="1" x14ac:dyDescent="0.2">
      <c r="A53" s="75" t="s">
        <v>78</v>
      </c>
      <c r="B53" s="361" t="s">
        <v>79</v>
      </c>
      <c r="C53" s="361"/>
      <c r="D53" s="361"/>
      <c r="E53" s="361"/>
      <c r="F53" s="361"/>
      <c r="G53" s="361"/>
      <c r="H53" s="85">
        <v>0.08</v>
      </c>
      <c r="I53" s="8">
        <f t="shared" si="0"/>
        <v>166.17413119999998</v>
      </c>
      <c r="J53" s="84"/>
      <c r="K53" s="101"/>
    </row>
    <row r="54" spans="1:11" x14ac:dyDescent="0.2">
      <c r="A54" s="451" t="s">
        <v>80</v>
      </c>
      <c r="B54" s="451"/>
      <c r="C54" s="451"/>
      <c r="D54" s="451"/>
      <c r="E54" s="451"/>
      <c r="F54" s="451"/>
      <c r="G54" s="451"/>
      <c r="H54" s="102">
        <f>SUM(H46:H53)</f>
        <v>0.36800000000000005</v>
      </c>
      <c r="I54" s="189">
        <f>TRUNC(SUM(I46:I53),2)</f>
        <v>764.4</v>
      </c>
      <c r="J54" s="84"/>
    </row>
    <row r="55" spans="1:11" ht="145.9" customHeight="1" x14ac:dyDescent="0.2">
      <c r="A55" s="464" t="s">
        <v>403</v>
      </c>
      <c r="B55" s="465"/>
      <c r="C55" s="465"/>
      <c r="D55" s="465"/>
      <c r="E55" s="465"/>
      <c r="F55" s="465"/>
      <c r="G55" s="465"/>
      <c r="H55" s="465"/>
      <c r="I55" s="465"/>
      <c r="J55" s="84"/>
    </row>
    <row r="56" spans="1:11" x14ac:dyDescent="0.2">
      <c r="A56" s="447"/>
      <c r="B56" s="447"/>
      <c r="C56" s="447"/>
      <c r="D56" s="447"/>
      <c r="E56" s="447"/>
      <c r="F56" s="447"/>
      <c r="G56" s="447"/>
      <c r="H56" s="447"/>
      <c r="I56" s="448"/>
      <c r="J56" s="84"/>
    </row>
    <row r="57" spans="1:11" x14ac:dyDescent="0.2">
      <c r="A57" s="445" t="s">
        <v>81</v>
      </c>
      <c r="B57" s="445"/>
      <c r="C57" s="445"/>
      <c r="D57" s="445"/>
      <c r="E57" s="445"/>
      <c r="F57" s="445"/>
      <c r="G57" s="445"/>
      <c r="H57" s="103"/>
      <c r="I57" s="97" t="s">
        <v>56</v>
      </c>
      <c r="J57" s="84"/>
    </row>
    <row r="58" spans="1:11" x14ac:dyDescent="0.2">
      <c r="A58" s="75" t="s">
        <v>34</v>
      </c>
      <c r="B58" s="390" t="s">
        <v>417</v>
      </c>
      <c r="C58" s="390"/>
      <c r="D58" s="390"/>
      <c r="E58" s="390"/>
      <c r="F58" s="390"/>
      <c r="G58" s="390"/>
      <c r="H58" s="314" t="s">
        <v>82</v>
      </c>
      <c r="I58" s="190">
        <f>4.5*2*26-I27*0.06</f>
        <v>159.60000000000002</v>
      </c>
      <c r="J58" s="84"/>
    </row>
    <row r="59" spans="1:11" x14ac:dyDescent="0.2">
      <c r="A59" s="75" t="s">
        <v>36</v>
      </c>
      <c r="B59" s="390" t="s">
        <v>418</v>
      </c>
      <c r="C59" s="390"/>
      <c r="D59" s="390"/>
      <c r="E59" s="390"/>
      <c r="F59" s="390"/>
      <c r="G59" s="390"/>
      <c r="H59" s="314" t="s">
        <v>82</v>
      </c>
      <c r="I59" s="104">
        <f>19.5*22-0.25</f>
        <v>428.75</v>
      </c>
      <c r="J59" s="105"/>
    </row>
    <row r="60" spans="1:11" x14ac:dyDescent="0.2">
      <c r="A60" s="75" t="s">
        <v>38</v>
      </c>
      <c r="B60" s="390" t="s">
        <v>83</v>
      </c>
      <c r="C60" s="390"/>
      <c r="D60" s="390"/>
      <c r="E60" s="390"/>
      <c r="F60" s="390"/>
      <c r="G60" s="390"/>
      <c r="H60" s="62" t="s">
        <v>82</v>
      </c>
      <c r="I60" s="104">
        <v>0</v>
      </c>
      <c r="J60" s="84"/>
    </row>
    <row r="61" spans="1:11" x14ac:dyDescent="0.2">
      <c r="A61" s="75" t="s">
        <v>39</v>
      </c>
      <c r="B61" s="390" t="s">
        <v>65</v>
      </c>
      <c r="C61" s="390"/>
      <c r="D61" s="390"/>
      <c r="E61" s="390"/>
      <c r="F61" s="390"/>
      <c r="G61" s="390"/>
      <c r="H61" s="62" t="s">
        <v>82</v>
      </c>
      <c r="I61" s="104">
        <v>0</v>
      </c>
      <c r="J61" s="84"/>
    </row>
    <row r="62" spans="1:11" x14ac:dyDescent="0.2">
      <c r="A62" s="379" t="s">
        <v>84</v>
      </c>
      <c r="B62" s="379"/>
      <c r="C62" s="379"/>
      <c r="D62" s="379"/>
      <c r="E62" s="379"/>
      <c r="F62" s="379"/>
      <c r="G62" s="379"/>
      <c r="H62" s="379"/>
      <c r="I62" s="10">
        <f>TRUNC(SUM(I58:I61),2)</f>
        <v>588.35</v>
      </c>
      <c r="J62" s="84"/>
    </row>
    <row r="63" spans="1:11" ht="46.5" customHeight="1" x14ac:dyDescent="0.2">
      <c r="A63" s="442" t="s">
        <v>382</v>
      </c>
      <c r="B63" s="443"/>
      <c r="C63" s="443"/>
      <c r="D63" s="443"/>
      <c r="E63" s="443"/>
      <c r="F63" s="443"/>
      <c r="G63" s="443"/>
      <c r="H63" s="443"/>
      <c r="I63" s="444"/>
      <c r="J63" s="84"/>
    </row>
    <row r="64" spans="1:11" x14ac:dyDescent="0.2">
      <c r="A64" s="106"/>
      <c r="B64" s="106"/>
      <c r="C64" s="106"/>
      <c r="D64" s="106"/>
      <c r="E64" s="106"/>
      <c r="F64" s="106"/>
      <c r="G64" s="106"/>
      <c r="H64" s="106"/>
      <c r="I64" s="106"/>
      <c r="J64" s="84"/>
    </row>
    <row r="65" spans="1:10" x14ac:dyDescent="0.2">
      <c r="A65" s="445" t="s">
        <v>85</v>
      </c>
      <c r="B65" s="445"/>
      <c r="C65" s="445"/>
      <c r="D65" s="445"/>
      <c r="E65" s="445"/>
      <c r="F65" s="445"/>
      <c r="G65" s="445"/>
      <c r="H65" s="445"/>
      <c r="I65" s="445"/>
      <c r="J65" s="84"/>
    </row>
    <row r="66" spans="1:10" x14ac:dyDescent="0.2">
      <c r="A66" s="446" t="s">
        <v>86</v>
      </c>
      <c r="B66" s="446"/>
      <c r="C66" s="446"/>
      <c r="D66" s="446"/>
      <c r="E66" s="446"/>
      <c r="F66" s="446"/>
      <c r="G66" s="446"/>
      <c r="H66" s="446"/>
      <c r="I66" s="75" t="s">
        <v>56</v>
      </c>
      <c r="J66" s="84"/>
    </row>
    <row r="67" spans="1:10" x14ac:dyDescent="0.2">
      <c r="A67" s="107" t="s">
        <v>87</v>
      </c>
      <c r="B67" s="361" t="s">
        <v>88</v>
      </c>
      <c r="C67" s="361"/>
      <c r="D67" s="361"/>
      <c r="E67" s="361"/>
      <c r="F67" s="361"/>
      <c r="G67" s="361"/>
      <c r="H67" s="361"/>
      <c r="I67" s="8">
        <f>I40</f>
        <v>352.37663999999995</v>
      </c>
      <c r="J67" s="84"/>
    </row>
    <row r="68" spans="1:10" x14ac:dyDescent="0.2">
      <c r="A68" s="108" t="s">
        <v>89</v>
      </c>
      <c r="B68" s="361" t="s">
        <v>90</v>
      </c>
      <c r="C68" s="361"/>
      <c r="D68" s="361"/>
      <c r="E68" s="361"/>
      <c r="F68" s="361"/>
      <c r="G68" s="361"/>
      <c r="H68" s="361"/>
      <c r="I68" s="8">
        <f>I54</f>
        <v>764.4</v>
      </c>
      <c r="J68" s="84"/>
    </row>
    <row r="69" spans="1:10" x14ac:dyDescent="0.2">
      <c r="A69" s="108" t="s">
        <v>91</v>
      </c>
      <c r="B69" s="361" t="s">
        <v>92</v>
      </c>
      <c r="C69" s="361"/>
      <c r="D69" s="361"/>
      <c r="E69" s="361"/>
      <c r="F69" s="361"/>
      <c r="G69" s="361"/>
      <c r="H69" s="361"/>
      <c r="I69" s="8">
        <f>I62</f>
        <v>588.35</v>
      </c>
      <c r="J69" s="84"/>
    </row>
    <row r="70" spans="1:10" x14ac:dyDescent="0.2">
      <c r="A70" s="379" t="s">
        <v>93</v>
      </c>
      <c r="B70" s="379"/>
      <c r="C70" s="379"/>
      <c r="D70" s="379"/>
      <c r="E70" s="379"/>
      <c r="F70" s="379"/>
      <c r="G70" s="379"/>
      <c r="H70" s="379"/>
      <c r="I70" s="10">
        <f>TRUNC(SUM(I67:I69),2)</f>
        <v>1705.12</v>
      </c>
      <c r="J70" s="84"/>
    </row>
    <row r="71" spans="1:10" x14ac:dyDescent="0.2">
      <c r="A71" s="405"/>
      <c r="B71" s="406"/>
      <c r="C71" s="406"/>
      <c r="D71" s="406"/>
      <c r="E71" s="406"/>
      <c r="F71" s="406"/>
      <c r="G71" s="406"/>
      <c r="H71" s="406"/>
      <c r="I71" s="406"/>
      <c r="J71" s="84"/>
    </row>
    <row r="72" spans="1:10" ht="17.25" customHeight="1" x14ac:dyDescent="0.2">
      <c r="A72" s="437" t="s">
        <v>94</v>
      </c>
      <c r="B72" s="438"/>
      <c r="C72" s="438"/>
      <c r="D72" s="438"/>
      <c r="E72" s="438"/>
      <c r="F72" s="438"/>
      <c r="G72" s="438"/>
      <c r="H72" s="438"/>
      <c r="I72" s="110"/>
      <c r="J72" s="84"/>
    </row>
    <row r="73" spans="1:10" ht="16.5" customHeight="1" x14ac:dyDescent="0.2">
      <c r="A73" s="439" t="s">
        <v>181</v>
      </c>
      <c r="B73" s="440"/>
      <c r="C73" s="440"/>
      <c r="D73" s="440"/>
      <c r="E73" s="440"/>
      <c r="F73" s="440"/>
      <c r="G73" s="440"/>
      <c r="H73" s="441"/>
      <c r="I73" s="111">
        <f>I33+I40</f>
        <v>2077.1766399999997</v>
      </c>
      <c r="J73" s="84"/>
    </row>
    <row r="74" spans="1:10" x14ac:dyDescent="0.2">
      <c r="A74" s="112">
        <v>3</v>
      </c>
      <c r="B74" s="436" t="s">
        <v>95</v>
      </c>
      <c r="C74" s="436"/>
      <c r="D74" s="436"/>
      <c r="E74" s="436"/>
      <c r="F74" s="436"/>
      <c r="G74" s="436"/>
      <c r="H74" s="112" t="s">
        <v>55</v>
      </c>
      <c r="I74" s="112" t="s">
        <v>56</v>
      </c>
      <c r="J74" s="84"/>
    </row>
    <row r="75" spans="1:10" ht="63" customHeight="1" x14ac:dyDescent="0.2">
      <c r="A75" s="112" t="s">
        <v>34</v>
      </c>
      <c r="B75" s="433" t="s">
        <v>387</v>
      </c>
      <c r="C75" s="434"/>
      <c r="D75" s="434"/>
      <c r="E75" s="434"/>
      <c r="F75" s="434"/>
      <c r="G75" s="435"/>
      <c r="H75" s="114">
        <f>(1/12)*5%</f>
        <v>4.1666666666666666E-3</v>
      </c>
      <c r="I75" s="191">
        <f>$I$73*H75</f>
        <v>8.6549026666666649</v>
      </c>
      <c r="J75" s="84"/>
    </row>
    <row r="76" spans="1:10" ht="13.15" customHeight="1" x14ac:dyDescent="0.2">
      <c r="A76" s="112" t="s">
        <v>36</v>
      </c>
      <c r="B76" s="432" t="s">
        <v>96</v>
      </c>
      <c r="C76" s="432"/>
      <c r="D76" s="432"/>
      <c r="E76" s="432"/>
      <c r="F76" s="432"/>
      <c r="G76" s="432"/>
      <c r="H76" s="114">
        <f>8%*H75</f>
        <v>3.3333333333333332E-4</v>
      </c>
      <c r="I76" s="191">
        <f t="shared" ref="I76:I79" si="1">$I$73*H76</f>
        <v>0.69239221333333323</v>
      </c>
      <c r="J76" s="93"/>
    </row>
    <row r="77" spans="1:10" ht="27.75" customHeight="1" x14ac:dyDescent="0.2">
      <c r="A77" s="112" t="s">
        <v>38</v>
      </c>
      <c r="B77" s="433" t="s">
        <v>388</v>
      </c>
      <c r="C77" s="434"/>
      <c r="D77" s="434"/>
      <c r="E77" s="434"/>
      <c r="F77" s="434"/>
      <c r="G77" s="435"/>
      <c r="H77" s="114">
        <f>((8%*40%*5%*(1+1/12+1/12+(1/3/12))))</f>
        <v>1.9111111111111108E-3</v>
      </c>
      <c r="I77" s="191">
        <f t="shared" si="1"/>
        <v>3.9697153564444432</v>
      </c>
      <c r="J77" s="84"/>
    </row>
    <row r="78" spans="1:10" ht="40.15" customHeight="1" x14ac:dyDescent="0.2">
      <c r="A78" s="112" t="s">
        <v>39</v>
      </c>
      <c r="B78" s="433" t="s">
        <v>394</v>
      </c>
      <c r="C78" s="434"/>
      <c r="D78" s="434"/>
      <c r="E78" s="434"/>
      <c r="F78" s="434"/>
      <c r="G78" s="435"/>
      <c r="H78" s="114">
        <f>((1/30)*7)/12</f>
        <v>1.9444444444444445E-2</v>
      </c>
      <c r="I78" s="191">
        <f>$I$73*H78</f>
        <v>40.389545777777769</v>
      </c>
      <c r="J78" s="84"/>
    </row>
    <row r="79" spans="1:10" ht="12.75" customHeight="1" x14ac:dyDescent="0.2">
      <c r="A79" s="112" t="s">
        <v>61</v>
      </c>
      <c r="B79" s="432" t="s">
        <v>204</v>
      </c>
      <c r="C79" s="432"/>
      <c r="D79" s="432"/>
      <c r="E79" s="432"/>
      <c r="F79" s="432"/>
      <c r="G79" s="432"/>
      <c r="H79" s="114">
        <f>H54*H78</f>
        <v>7.1555555555555565E-3</v>
      </c>
      <c r="I79" s="191">
        <f t="shared" si="1"/>
        <v>14.863352846222222</v>
      </c>
      <c r="J79" s="84"/>
    </row>
    <row r="80" spans="1:10" ht="27" customHeight="1" x14ac:dyDescent="0.2">
      <c r="A80" s="112" t="s">
        <v>63</v>
      </c>
      <c r="B80" s="433" t="s">
        <v>390</v>
      </c>
      <c r="C80" s="434"/>
      <c r="D80" s="434"/>
      <c r="E80" s="434"/>
      <c r="F80" s="434"/>
      <c r="G80" s="435"/>
      <c r="H80" s="114">
        <f>((8%*40%*100%*(1+1/12+1/12+(1/3/12))))</f>
        <v>3.8222222222222213E-2</v>
      </c>
      <c r="I80" s="191">
        <f>$I$73*H80</f>
        <v>79.394307128888855</v>
      </c>
      <c r="J80" s="84"/>
    </row>
    <row r="81" spans="1:12" x14ac:dyDescent="0.2">
      <c r="A81" s="436" t="s">
        <v>97</v>
      </c>
      <c r="B81" s="436"/>
      <c r="C81" s="436"/>
      <c r="D81" s="436"/>
      <c r="E81" s="436"/>
      <c r="F81" s="436"/>
      <c r="G81" s="436"/>
      <c r="H81" s="115">
        <f>TRUNC(SUM(H75:H80),4)</f>
        <v>7.1199999999999999E-2</v>
      </c>
      <c r="I81" s="9">
        <f>TRUNC(SUM(I75:I80),2)</f>
        <v>147.96</v>
      </c>
      <c r="J81" s="84"/>
    </row>
    <row r="82" spans="1:12" ht="83.45" customHeight="1" x14ac:dyDescent="0.2">
      <c r="A82" s="503" t="s">
        <v>411</v>
      </c>
      <c r="B82" s="504"/>
      <c r="C82" s="504"/>
      <c r="D82" s="504"/>
      <c r="E82" s="504"/>
      <c r="F82" s="504"/>
      <c r="G82" s="504"/>
      <c r="H82" s="504"/>
      <c r="I82" s="505"/>
      <c r="J82" s="84"/>
    </row>
    <row r="83" spans="1:12" x14ac:dyDescent="0.2">
      <c r="A83" s="499"/>
      <c r="B83" s="500"/>
      <c r="C83" s="500"/>
      <c r="D83" s="500"/>
      <c r="E83" s="500"/>
      <c r="F83" s="500"/>
      <c r="G83" s="500"/>
      <c r="H83" s="500"/>
      <c r="I83" s="501"/>
      <c r="J83" s="84"/>
    </row>
    <row r="84" spans="1:12" x14ac:dyDescent="0.2">
      <c r="A84" s="116"/>
      <c r="B84" s="117"/>
      <c r="C84" s="117"/>
      <c r="D84" s="117"/>
      <c r="E84" s="117"/>
      <c r="F84" s="117"/>
      <c r="G84" s="117"/>
      <c r="H84" s="118"/>
      <c r="I84" s="119"/>
      <c r="J84" s="84"/>
    </row>
    <row r="85" spans="1:12" x14ac:dyDescent="0.2">
      <c r="A85" s="407" t="s">
        <v>98</v>
      </c>
      <c r="B85" s="407"/>
      <c r="C85" s="407"/>
      <c r="D85" s="407"/>
      <c r="E85" s="407"/>
      <c r="F85" s="407"/>
      <c r="G85" s="407"/>
      <c r="H85" s="407"/>
      <c r="I85" s="407"/>
      <c r="J85" s="99"/>
    </row>
    <row r="86" spans="1:12" ht="21.75" customHeight="1" x14ac:dyDescent="0.2">
      <c r="A86" s="426" t="s">
        <v>182</v>
      </c>
      <c r="B86" s="427"/>
      <c r="C86" s="427"/>
      <c r="D86" s="427"/>
      <c r="E86" s="427"/>
      <c r="F86" s="427"/>
      <c r="G86" s="427"/>
      <c r="H86" s="428"/>
      <c r="I86" s="120">
        <f>I33+I70+I81</f>
        <v>3577.88</v>
      </c>
      <c r="J86" s="84"/>
    </row>
    <row r="87" spans="1:12" x14ac:dyDescent="0.2">
      <c r="A87" s="379" t="s">
        <v>183</v>
      </c>
      <c r="B87" s="379"/>
      <c r="C87" s="379"/>
      <c r="D87" s="379"/>
      <c r="E87" s="379"/>
      <c r="F87" s="379"/>
      <c r="G87" s="379"/>
      <c r="H87" s="75" t="s">
        <v>55</v>
      </c>
      <c r="I87" s="75" t="s">
        <v>56</v>
      </c>
      <c r="J87" s="84"/>
    </row>
    <row r="88" spans="1:12" ht="28.9" customHeight="1" x14ac:dyDescent="0.2">
      <c r="A88" s="113" t="s">
        <v>34</v>
      </c>
      <c r="B88" s="414" t="s">
        <v>391</v>
      </c>
      <c r="C88" s="415"/>
      <c r="D88" s="415"/>
      <c r="E88" s="415"/>
      <c r="F88" s="415"/>
      <c r="G88" s="416"/>
      <c r="H88" s="121">
        <f>((1/11+1/12+((1/3)/11))/12)</f>
        <v>1.7045454545454548E-2</v>
      </c>
      <c r="I88" s="191">
        <f>H88*I27</f>
        <v>21.13636363636364</v>
      </c>
      <c r="J88" s="123"/>
    </row>
    <row r="89" spans="1:12" ht="32.450000000000003" customHeight="1" x14ac:dyDescent="0.2">
      <c r="A89" s="113" t="s">
        <v>36</v>
      </c>
      <c r="B89" s="423" t="s">
        <v>399</v>
      </c>
      <c r="C89" s="424"/>
      <c r="D89" s="424"/>
      <c r="E89" s="424"/>
      <c r="F89" s="424"/>
      <c r="G89" s="425"/>
      <c r="H89" s="114">
        <f>((1/30)*1/12)</f>
        <v>2.7777777777777779E-3</v>
      </c>
      <c r="I89" s="191">
        <f t="shared" ref="I89:I93" si="2">H89*$I$86</f>
        <v>9.9385555555555563</v>
      </c>
      <c r="J89" s="84"/>
    </row>
    <row r="90" spans="1:12" ht="28.9" customHeight="1" x14ac:dyDescent="0.2">
      <c r="A90" s="113" t="s">
        <v>38</v>
      </c>
      <c r="B90" s="417" t="s">
        <v>398</v>
      </c>
      <c r="C90" s="417"/>
      <c r="D90" s="417"/>
      <c r="E90" s="417"/>
      <c r="F90" s="417"/>
      <c r="G90" s="417"/>
      <c r="H90" s="114">
        <f>((5/30)*1/12)*6.24%*50%</f>
        <v>4.3333333333333331E-4</v>
      </c>
      <c r="I90" s="191">
        <f t="shared" si="2"/>
        <v>1.5504146666666667</v>
      </c>
      <c r="J90" s="84"/>
    </row>
    <row r="91" spans="1:12" ht="27" customHeight="1" x14ac:dyDescent="0.2">
      <c r="A91" s="113" t="s">
        <v>39</v>
      </c>
      <c r="B91" s="414" t="s">
        <v>400</v>
      </c>
      <c r="C91" s="415"/>
      <c r="D91" s="415"/>
      <c r="E91" s="415"/>
      <c r="F91" s="415"/>
      <c r="G91" s="416"/>
      <c r="H91" s="114">
        <f>((0.98/30)*(1/12))</f>
        <v>2.7222222222222218E-3</v>
      </c>
      <c r="I91" s="191">
        <f t="shared" si="2"/>
        <v>9.7397844444444424</v>
      </c>
      <c r="J91" s="87"/>
    </row>
    <row r="92" spans="1:12" ht="25.9" customHeight="1" x14ac:dyDescent="0.2">
      <c r="A92" s="113" t="s">
        <v>61</v>
      </c>
      <c r="B92" s="414" t="s">
        <v>392</v>
      </c>
      <c r="C92" s="415"/>
      <c r="D92" s="415"/>
      <c r="E92" s="415"/>
      <c r="F92" s="415"/>
      <c r="G92" s="416"/>
      <c r="H92" s="114">
        <f>((1/12)*(4/12))*2%</f>
        <v>5.5555555555555556E-4</v>
      </c>
      <c r="I92" s="191">
        <f>H92*I33</f>
        <v>0.9582222222222222</v>
      </c>
      <c r="J92" s="87"/>
    </row>
    <row r="93" spans="1:12" ht="27" customHeight="1" x14ac:dyDescent="0.2">
      <c r="A93" s="113" t="s">
        <v>63</v>
      </c>
      <c r="B93" s="417" t="s">
        <v>401</v>
      </c>
      <c r="C93" s="417"/>
      <c r="D93" s="417"/>
      <c r="E93" s="417"/>
      <c r="F93" s="417"/>
      <c r="G93" s="417"/>
      <c r="H93" s="114">
        <f>((5.96/30)*(1/12))</f>
        <v>1.6555555555555553E-2</v>
      </c>
      <c r="I93" s="191">
        <f t="shared" si="2"/>
        <v>59.233791111111103</v>
      </c>
      <c r="J93" s="84"/>
      <c r="L93" s="124"/>
    </row>
    <row r="94" spans="1:12" x14ac:dyDescent="0.2">
      <c r="A94" s="379" t="s">
        <v>99</v>
      </c>
      <c r="B94" s="379"/>
      <c r="C94" s="379"/>
      <c r="D94" s="379"/>
      <c r="E94" s="379"/>
      <c r="F94" s="379"/>
      <c r="G94" s="379"/>
      <c r="H94" s="125">
        <f>SUM(H88:H93)</f>
        <v>4.0089898989898995E-2</v>
      </c>
      <c r="I94" s="9">
        <f>SUM(I88:I93)</f>
        <v>102.55713163636364</v>
      </c>
      <c r="J94" s="84"/>
      <c r="L94" s="7"/>
    </row>
    <row r="95" spans="1:12" ht="68.45" customHeight="1" x14ac:dyDescent="0.2">
      <c r="A95" s="506" t="s">
        <v>404</v>
      </c>
      <c r="B95" s="507"/>
      <c r="C95" s="507"/>
      <c r="D95" s="507"/>
      <c r="E95" s="507"/>
      <c r="F95" s="507"/>
      <c r="G95" s="507"/>
      <c r="H95" s="507"/>
      <c r="I95" s="508"/>
      <c r="J95" s="84"/>
    </row>
    <row r="96" spans="1:12" x14ac:dyDescent="0.2">
      <c r="A96" s="418"/>
      <c r="B96" s="419"/>
      <c r="C96" s="419"/>
      <c r="D96" s="419"/>
      <c r="E96" s="419"/>
      <c r="F96" s="419"/>
      <c r="G96" s="419"/>
      <c r="H96" s="419"/>
      <c r="I96" s="419"/>
      <c r="J96" s="84"/>
    </row>
    <row r="97" spans="1:10" ht="15.75" customHeight="1" x14ac:dyDescent="0.2">
      <c r="A97" s="420" t="s">
        <v>184</v>
      </c>
      <c r="B97" s="421"/>
      <c r="C97" s="421"/>
      <c r="D97" s="421"/>
      <c r="E97" s="421"/>
      <c r="F97" s="421"/>
      <c r="G97" s="422"/>
      <c r="H97" s="126" t="s">
        <v>55</v>
      </c>
      <c r="I97" s="126" t="s">
        <v>56</v>
      </c>
      <c r="J97" s="84"/>
    </row>
    <row r="98" spans="1:10" x14ac:dyDescent="0.2">
      <c r="A98" s="75" t="s">
        <v>34</v>
      </c>
      <c r="B98" s="509" t="s">
        <v>383</v>
      </c>
      <c r="C98" s="510"/>
      <c r="D98" s="510"/>
      <c r="E98" s="510"/>
      <c r="F98" s="510"/>
      <c r="G98" s="511"/>
      <c r="H98" s="121">
        <v>0</v>
      </c>
      <c r="I98" s="122">
        <f>$I$33*H98</f>
        <v>0</v>
      </c>
      <c r="J98" s="84"/>
    </row>
    <row r="99" spans="1:10" x14ac:dyDescent="0.2">
      <c r="A99" s="379" t="s">
        <v>100</v>
      </c>
      <c r="B99" s="379"/>
      <c r="C99" s="379"/>
      <c r="D99" s="379"/>
      <c r="E99" s="379"/>
      <c r="F99" s="379"/>
      <c r="G99" s="379"/>
      <c r="H99" s="89">
        <f>TRUNC(SUM(H98),4)</f>
        <v>0</v>
      </c>
      <c r="I99" s="90">
        <f>TRUNC(SUM(I98),2)</f>
        <v>0</v>
      </c>
      <c r="J99" s="84"/>
    </row>
    <row r="100" spans="1:10" x14ac:dyDescent="0.2">
      <c r="A100" s="411"/>
      <c r="B100" s="412"/>
      <c r="C100" s="412"/>
      <c r="D100" s="412"/>
      <c r="E100" s="412"/>
      <c r="F100" s="412"/>
      <c r="G100" s="412"/>
      <c r="H100" s="412"/>
      <c r="I100" s="412"/>
      <c r="J100" s="84"/>
    </row>
    <row r="101" spans="1:10" x14ac:dyDescent="0.2">
      <c r="A101" s="413" t="s">
        <v>101</v>
      </c>
      <c r="B101" s="413"/>
      <c r="C101" s="413"/>
      <c r="D101" s="413"/>
      <c r="E101" s="413"/>
      <c r="F101" s="413"/>
      <c r="G101" s="413"/>
      <c r="H101" s="413"/>
      <c r="I101" s="413"/>
      <c r="J101" s="84"/>
    </row>
    <row r="102" spans="1:10" x14ac:dyDescent="0.2">
      <c r="A102" s="379" t="s">
        <v>102</v>
      </c>
      <c r="B102" s="379"/>
      <c r="C102" s="379"/>
      <c r="D102" s="379"/>
      <c r="E102" s="379"/>
      <c r="F102" s="379"/>
      <c r="G102" s="379"/>
      <c r="H102" s="379"/>
      <c r="I102" s="75" t="s">
        <v>56</v>
      </c>
      <c r="J102" s="84"/>
    </row>
    <row r="103" spans="1:10" x14ac:dyDescent="0.2">
      <c r="A103" s="75" t="s">
        <v>103</v>
      </c>
      <c r="B103" s="380" t="s">
        <v>185</v>
      </c>
      <c r="C103" s="380"/>
      <c r="D103" s="380"/>
      <c r="E103" s="380"/>
      <c r="F103" s="380"/>
      <c r="G103" s="380"/>
      <c r="H103" s="380"/>
      <c r="I103" s="8">
        <f>I94</f>
        <v>102.55713163636364</v>
      </c>
      <c r="J103" s="84"/>
    </row>
    <row r="104" spans="1:10" ht="18" customHeight="1" x14ac:dyDescent="0.2">
      <c r="A104" s="79" t="s">
        <v>104</v>
      </c>
      <c r="B104" s="380" t="s">
        <v>186</v>
      </c>
      <c r="C104" s="380"/>
      <c r="D104" s="380"/>
      <c r="E104" s="380"/>
      <c r="F104" s="380"/>
      <c r="G104" s="380"/>
      <c r="H104" s="380"/>
      <c r="I104" s="109">
        <f>I99</f>
        <v>0</v>
      </c>
      <c r="J104" s="84"/>
    </row>
    <row r="105" spans="1:10" x14ac:dyDescent="0.2">
      <c r="A105" s="379" t="s">
        <v>105</v>
      </c>
      <c r="B105" s="379"/>
      <c r="C105" s="379"/>
      <c r="D105" s="379"/>
      <c r="E105" s="379"/>
      <c r="F105" s="379"/>
      <c r="G105" s="379"/>
      <c r="H105" s="379"/>
      <c r="I105" s="10">
        <f>I94+I99</f>
        <v>102.55713163636364</v>
      </c>
      <c r="J105" s="84"/>
    </row>
    <row r="106" spans="1:10" x14ac:dyDescent="0.2">
      <c r="A106" s="405"/>
      <c r="B106" s="406"/>
      <c r="C106" s="406"/>
      <c r="D106" s="406"/>
      <c r="E106" s="406"/>
      <c r="F106" s="406"/>
      <c r="G106" s="406"/>
      <c r="H106" s="406"/>
      <c r="I106" s="406"/>
      <c r="J106" s="84"/>
    </row>
    <row r="107" spans="1:10" x14ac:dyDescent="0.2">
      <c r="A107" s="407" t="s">
        <v>106</v>
      </c>
      <c r="B107" s="407"/>
      <c r="C107" s="407"/>
      <c r="D107" s="407"/>
      <c r="E107" s="407"/>
      <c r="F107" s="407"/>
      <c r="G107" s="407"/>
      <c r="H107" s="407"/>
      <c r="I107" s="407"/>
      <c r="J107" s="84"/>
    </row>
    <row r="108" spans="1:10" x14ac:dyDescent="0.2">
      <c r="A108" s="75">
        <v>5</v>
      </c>
      <c r="B108" s="379" t="s">
        <v>107</v>
      </c>
      <c r="C108" s="379"/>
      <c r="D108" s="379"/>
      <c r="E108" s="379"/>
      <c r="F108" s="379"/>
      <c r="G108" s="379"/>
      <c r="H108" s="75"/>
      <c r="I108" s="75" t="s">
        <v>56</v>
      </c>
      <c r="J108" s="84"/>
    </row>
    <row r="109" spans="1:10" x14ac:dyDescent="0.2">
      <c r="A109" s="75" t="s">
        <v>34</v>
      </c>
      <c r="B109" s="390" t="s">
        <v>384</v>
      </c>
      <c r="C109" s="390"/>
      <c r="D109" s="390"/>
      <c r="E109" s="390"/>
      <c r="F109" s="390"/>
      <c r="G109" s="390"/>
      <c r="H109" s="62" t="s">
        <v>82</v>
      </c>
      <c r="I109" s="326">
        <f>'Materiais e Uniformes'!G148</f>
        <v>56.867499999999993</v>
      </c>
      <c r="J109" s="84"/>
    </row>
    <row r="110" spans="1:10" x14ac:dyDescent="0.2">
      <c r="A110" s="76" t="s">
        <v>36</v>
      </c>
      <c r="B110" s="390" t="s">
        <v>393</v>
      </c>
      <c r="C110" s="390"/>
      <c r="D110" s="390"/>
      <c r="E110" s="390"/>
      <c r="F110" s="390"/>
      <c r="G110" s="390"/>
      <c r="H110" s="67" t="s">
        <v>82</v>
      </c>
      <c r="I110" s="8">
        <f>'Materiais e Uniformes'!J32</f>
        <v>21.774333333333331</v>
      </c>
      <c r="J110" s="84"/>
    </row>
    <row r="111" spans="1:10" x14ac:dyDescent="0.2">
      <c r="A111" s="76" t="s">
        <v>38</v>
      </c>
      <c r="B111" s="352" t="s">
        <v>408</v>
      </c>
      <c r="C111" s="353"/>
      <c r="D111" s="353"/>
      <c r="E111" s="353"/>
      <c r="F111" s="353"/>
      <c r="G111" s="354"/>
      <c r="H111" s="67"/>
      <c r="I111" s="8">
        <f>'Materiais e Uniformes'!F78</f>
        <v>121.80266666666667</v>
      </c>
      <c r="J111" s="84"/>
    </row>
    <row r="112" spans="1:10" x14ac:dyDescent="0.2">
      <c r="A112" s="127" t="s">
        <v>39</v>
      </c>
      <c r="B112" s="390" t="s">
        <v>409</v>
      </c>
      <c r="C112" s="390"/>
      <c r="D112" s="390"/>
      <c r="E112" s="390"/>
      <c r="F112" s="390"/>
      <c r="G112" s="390"/>
      <c r="H112" s="67" t="s">
        <v>82</v>
      </c>
      <c r="I112" s="326">
        <f>'Materiais e Uniformes'!F125</f>
        <v>402.67500000000001</v>
      </c>
      <c r="J112" s="84"/>
    </row>
    <row r="113" spans="1:12" x14ac:dyDescent="0.2">
      <c r="A113" s="379" t="s">
        <v>108</v>
      </c>
      <c r="B113" s="379"/>
      <c r="C113" s="379"/>
      <c r="D113" s="379"/>
      <c r="E113" s="379"/>
      <c r="F113" s="379"/>
      <c r="G113" s="379"/>
      <c r="H113" s="89" t="s">
        <v>82</v>
      </c>
      <c r="I113" s="77">
        <f>TRUNC(SUM(I109:I112),2)</f>
        <v>603.11</v>
      </c>
      <c r="J113" s="84"/>
    </row>
    <row r="114" spans="1:12" x14ac:dyDescent="0.2">
      <c r="A114" s="128"/>
      <c r="B114" s="129"/>
      <c r="C114" s="129"/>
      <c r="D114" s="129"/>
      <c r="E114" s="129"/>
      <c r="F114" s="129"/>
      <c r="G114" s="129"/>
      <c r="H114" s="130"/>
      <c r="I114" s="131"/>
      <c r="J114" s="84"/>
    </row>
    <row r="115" spans="1:12" x14ac:dyDescent="0.2">
      <c r="A115" s="402" t="s">
        <v>187</v>
      </c>
      <c r="B115" s="403"/>
      <c r="C115" s="403"/>
      <c r="D115" s="403"/>
      <c r="E115" s="403"/>
      <c r="F115" s="403"/>
      <c r="G115" s="403"/>
      <c r="H115" s="404"/>
      <c r="I115" s="132"/>
      <c r="J115" s="84"/>
    </row>
    <row r="116" spans="1:12" x14ac:dyDescent="0.2">
      <c r="A116" s="478" t="s">
        <v>29</v>
      </c>
      <c r="B116" s="478"/>
      <c r="C116" s="478"/>
      <c r="D116" s="478"/>
      <c r="E116" s="478"/>
      <c r="F116" s="478"/>
      <c r="G116" s="478"/>
      <c r="H116" s="478"/>
      <c r="I116" s="133">
        <f>I33+I70+I81+I105+I113</f>
        <v>4283.5471316363637</v>
      </c>
      <c r="J116" s="84"/>
    </row>
    <row r="117" spans="1:12" ht="14.25" customHeight="1" x14ac:dyDescent="0.2">
      <c r="A117" s="128"/>
      <c r="B117" s="129"/>
      <c r="C117" s="129"/>
      <c r="D117" s="129"/>
      <c r="E117" s="129"/>
      <c r="F117" s="129"/>
      <c r="G117" s="129"/>
      <c r="H117" s="130"/>
      <c r="I117" s="131"/>
      <c r="J117" s="84"/>
    </row>
    <row r="118" spans="1:12" x14ac:dyDescent="0.2">
      <c r="A118" s="391" t="s">
        <v>109</v>
      </c>
      <c r="B118" s="392"/>
      <c r="C118" s="392"/>
      <c r="D118" s="392"/>
      <c r="E118" s="392"/>
      <c r="F118" s="392"/>
      <c r="G118" s="392"/>
      <c r="H118" s="392"/>
      <c r="I118" s="393"/>
      <c r="J118" s="84"/>
    </row>
    <row r="119" spans="1:12" x14ac:dyDescent="0.2">
      <c r="A119" s="75">
        <v>6</v>
      </c>
      <c r="B119" s="379" t="s">
        <v>110</v>
      </c>
      <c r="C119" s="379"/>
      <c r="D119" s="379"/>
      <c r="E119" s="379"/>
      <c r="F119" s="379"/>
      <c r="G119" s="379"/>
      <c r="H119" s="75" t="s">
        <v>55</v>
      </c>
      <c r="I119" s="75" t="s">
        <v>56</v>
      </c>
      <c r="J119" s="84"/>
    </row>
    <row r="120" spans="1:12" x14ac:dyDescent="0.2">
      <c r="A120" s="75" t="s">
        <v>34</v>
      </c>
      <c r="B120" s="361" t="s">
        <v>111</v>
      </c>
      <c r="C120" s="361"/>
      <c r="D120" s="361"/>
      <c r="E120" s="361"/>
      <c r="F120" s="361"/>
      <c r="G120" s="361"/>
      <c r="H120" s="134">
        <v>6.7500000000000004E-2</v>
      </c>
      <c r="I120" s="190">
        <f>H120*I116</f>
        <v>289.13943138545454</v>
      </c>
      <c r="J120" s="84"/>
    </row>
    <row r="121" spans="1:12" x14ac:dyDescent="0.2">
      <c r="A121" s="79" t="s">
        <v>36</v>
      </c>
      <c r="B121" s="361" t="s">
        <v>112</v>
      </c>
      <c r="C121" s="361"/>
      <c r="D121" s="361"/>
      <c r="E121" s="361"/>
      <c r="F121" s="361"/>
      <c r="G121" s="361"/>
      <c r="H121" s="134">
        <v>7.6499999999999999E-2</v>
      </c>
      <c r="I121" s="190">
        <f>(I116+I120)*H121</f>
        <v>349.81052207116909</v>
      </c>
      <c r="J121" s="99"/>
      <c r="L121" s="7"/>
    </row>
    <row r="122" spans="1:12" x14ac:dyDescent="0.2">
      <c r="A122" s="479" t="s">
        <v>38</v>
      </c>
      <c r="B122" s="492" t="s">
        <v>188</v>
      </c>
      <c r="C122" s="493"/>
      <c r="D122" s="493"/>
      <c r="E122" s="493"/>
      <c r="F122" s="493"/>
      <c r="G122" s="494"/>
      <c r="H122" s="481">
        <f>E124+E125+E130+E126+E128+E131</f>
        <v>0.14250000000000002</v>
      </c>
      <c r="I122" s="489">
        <f>H122*I133</f>
        <v>818.02429693965098</v>
      </c>
      <c r="J122" s="99"/>
    </row>
    <row r="123" spans="1:12" x14ac:dyDescent="0.2">
      <c r="A123" s="479"/>
      <c r="B123" s="495" t="s">
        <v>189</v>
      </c>
      <c r="C123" s="496"/>
      <c r="D123" s="496"/>
      <c r="E123" s="496"/>
      <c r="F123" s="496"/>
      <c r="G123" s="497"/>
      <c r="H123" s="481"/>
      <c r="I123" s="490"/>
      <c r="J123" s="99"/>
    </row>
    <row r="124" spans="1:12" x14ac:dyDescent="0.2">
      <c r="A124" s="479"/>
      <c r="B124" s="483" t="s">
        <v>190</v>
      </c>
      <c r="C124" s="483"/>
      <c r="D124" s="483"/>
      <c r="E124" s="135">
        <v>1.6500000000000001E-2</v>
      </c>
      <c r="F124" s="136"/>
      <c r="G124" s="137"/>
      <c r="H124" s="482"/>
      <c r="I124" s="490"/>
      <c r="J124" s="84"/>
    </row>
    <row r="125" spans="1:12" x14ac:dyDescent="0.2">
      <c r="A125" s="479"/>
      <c r="B125" s="484" t="s">
        <v>191</v>
      </c>
      <c r="C125" s="484"/>
      <c r="D125" s="484"/>
      <c r="E125" s="138">
        <v>7.5999999999999998E-2</v>
      </c>
      <c r="F125" s="139"/>
      <c r="G125" s="137"/>
      <c r="H125" s="482"/>
      <c r="I125" s="490"/>
    </row>
    <row r="126" spans="1:12" x14ac:dyDescent="0.2">
      <c r="A126" s="479"/>
      <c r="B126" s="484" t="s">
        <v>192</v>
      </c>
      <c r="C126" s="484"/>
      <c r="D126" s="484"/>
      <c r="E126" s="140"/>
      <c r="F126" s="139"/>
      <c r="G126" s="137"/>
      <c r="H126" s="482"/>
      <c r="I126" s="490"/>
    </row>
    <row r="127" spans="1:12" x14ac:dyDescent="0.2">
      <c r="A127" s="480"/>
      <c r="B127" s="397" t="s">
        <v>193</v>
      </c>
      <c r="C127" s="398"/>
      <c r="D127" s="398"/>
      <c r="E127" s="398"/>
      <c r="F127" s="398"/>
      <c r="G127" s="399"/>
      <c r="H127" s="482"/>
      <c r="I127" s="490"/>
      <c r="J127" s="141"/>
    </row>
    <row r="128" spans="1:12" x14ac:dyDescent="0.2">
      <c r="A128" s="480"/>
      <c r="B128" s="485" t="s">
        <v>194</v>
      </c>
      <c r="C128" s="486"/>
      <c r="D128" s="486"/>
      <c r="E128" s="142"/>
      <c r="F128" s="143"/>
      <c r="G128" s="144"/>
      <c r="H128" s="482"/>
      <c r="I128" s="490"/>
    </row>
    <row r="129" spans="1:11" x14ac:dyDescent="0.2">
      <c r="A129" s="479"/>
      <c r="B129" s="400" t="s">
        <v>195</v>
      </c>
      <c r="C129" s="398"/>
      <c r="D129" s="398"/>
      <c r="E129" s="398"/>
      <c r="F129" s="398"/>
      <c r="G129" s="401"/>
      <c r="H129" s="481"/>
      <c r="I129" s="490"/>
    </row>
    <row r="130" spans="1:11" x14ac:dyDescent="0.2">
      <c r="A130" s="479"/>
      <c r="B130" s="487" t="s">
        <v>196</v>
      </c>
      <c r="C130" s="487"/>
      <c r="D130" s="487"/>
      <c r="E130" s="145">
        <v>0.05</v>
      </c>
      <c r="F130" s="139"/>
      <c r="G130" s="137"/>
      <c r="H130" s="482"/>
      <c r="I130" s="490"/>
    </row>
    <row r="131" spans="1:11" x14ac:dyDescent="0.2">
      <c r="A131" s="479"/>
      <c r="B131" s="488" t="s">
        <v>192</v>
      </c>
      <c r="C131" s="488"/>
      <c r="D131" s="488"/>
      <c r="E131" s="146"/>
      <c r="F131" s="147"/>
      <c r="G131" s="144"/>
      <c r="H131" s="482"/>
      <c r="I131" s="491"/>
      <c r="K131" s="141"/>
    </row>
    <row r="132" spans="1:11" x14ac:dyDescent="0.2">
      <c r="A132" s="379" t="s">
        <v>113</v>
      </c>
      <c r="B132" s="379"/>
      <c r="C132" s="379"/>
      <c r="D132" s="379"/>
      <c r="E132" s="379"/>
      <c r="F132" s="379"/>
      <c r="G132" s="379"/>
      <c r="H132" s="148">
        <f>SUM(H120:H131)</f>
        <v>0.28650000000000003</v>
      </c>
      <c r="I132" s="192">
        <f>SUM(I120:I131)</f>
        <v>1456.9742503962748</v>
      </c>
      <c r="K132" s="141"/>
    </row>
    <row r="133" spans="1:11" x14ac:dyDescent="0.2">
      <c r="A133" s="149"/>
      <c r="B133" s="150"/>
      <c r="C133" s="150"/>
      <c r="D133" s="150"/>
      <c r="E133" s="151"/>
      <c r="F133" s="150"/>
      <c r="G133" s="152"/>
      <c r="H133" s="153">
        <f>1-((14.25)/100)</f>
        <v>0.85750000000000004</v>
      </c>
      <c r="I133" s="154">
        <f>(I116+I120+I121)/H133</f>
        <v>5740.521382032638</v>
      </c>
      <c r="K133" s="141"/>
    </row>
    <row r="134" spans="1:11" x14ac:dyDescent="0.2">
      <c r="A134" s="65"/>
      <c r="B134" s="65"/>
      <c r="C134" s="65"/>
      <c r="D134" s="65"/>
      <c r="E134" s="65"/>
      <c r="F134" s="65"/>
      <c r="G134" s="65"/>
      <c r="H134" s="65"/>
      <c r="I134" s="155"/>
    </row>
    <row r="135" spans="1:11" x14ac:dyDescent="0.2">
      <c r="A135" s="394" t="s">
        <v>114</v>
      </c>
      <c r="B135" s="395"/>
      <c r="C135" s="395"/>
      <c r="D135" s="395"/>
      <c r="E135" s="395"/>
      <c r="F135" s="395"/>
      <c r="G135" s="395"/>
      <c r="H135" s="395"/>
      <c r="I135" s="396"/>
    </row>
    <row r="136" spans="1:11" x14ac:dyDescent="0.2">
      <c r="A136" s="379" t="s">
        <v>115</v>
      </c>
      <c r="B136" s="379"/>
      <c r="C136" s="379"/>
      <c r="D136" s="379"/>
      <c r="E136" s="379"/>
      <c r="F136" s="379"/>
      <c r="G136" s="379"/>
      <c r="H136" s="379"/>
      <c r="I136" s="75" t="s">
        <v>56</v>
      </c>
    </row>
    <row r="137" spans="1:11" x14ac:dyDescent="0.2">
      <c r="A137" s="62" t="s">
        <v>34</v>
      </c>
      <c r="B137" s="361" t="str">
        <f>A25</f>
        <v>MÓDULO 1 - COMPOSIÇÃO DA REMUNERAÇÃO</v>
      </c>
      <c r="C137" s="361"/>
      <c r="D137" s="361"/>
      <c r="E137" s="361"/>
      <c r="F137" s="361"/>
      <c r="G137" s="361"/>
      <c r="H137" s="361"/>
      <c r="I137" s="77">
        <f>I33</f>
        <v>1724.8</v>
      </c>
      <c r="K137" s="156"/>
    </row>
    <row r="138" spans="1:11" x14ac:dyDescent="0.2">
      <c r="A138" s="157" t="s">
        <v>36</v>
      </c>
      <c r="B138" s="361" t="str">
        <f>A36</f>
        <v>MÓDULO 2 – ENCARGOS E BENEFÍCIOS ANUAIS, MENSAIS E DIÁRIOS</v>
      </c>
      <c r="C138" s="361"/>
      <c r="D138" s="361"/>
      <c r="E138" s="361"/>
      <c r="F138" s="361"/>
      <c r="G138" s="361"/>
      <c r="H138" s="361"/>
      <c r="I138" s="77">
        <f>I70</f>
        <v>1705.12</v>
      </c>
      <c r="K138" s="156"/>
    </row>
    <row r="139" spans="1:11" x14ac:dyDescent="0.2">
      <c r="A139" s="157" t="s">
        <v>38</v>
      </c>
      <c r="B139" s="361" t="str">
        <f>A72</f>
        <v>MÓDULO 3 – PROVISÃO PARA RESCISÃO</v>
      </c>
      <c r="C139" s="361"/>
      <c r="D139" s="361"/>
      <c r="E139" s="361"/>
      <c r="F139" s="361"/>
      <c r="G139" s="361"/>
      <c r="H139" s="361"/>
      <c r="I139" s="77">
        <f>I81</f>
        <v>147.96</v>
      </c>
    </row>
    <row r="140" spans="1:11" x14ac:dyDescent="0.2">
      <c r="A140" s="62" t="s">
        <v>39</v>
      </c>
      <c r="B140" s="361" t="str">
        <f>A85</f>
        <v>MÓDULO 4 – CUSTO DE REPOSIÇÃO DO PROFISSIONAL AUSENTE</v>
      </c>
      <c r="C140" s="361"/>
      <c r="D140" s="361"/>
      <c r="E140" s="361"/>
      <c r="F140" s="361"/>
      <c r="G140" s="361"/>
      <c r="H140" s="361"/>
      <c r="I140" s="77">
        <f>I105</f>
        <v>102.55713163636364</v>
      </c>
      <c r="K140" s="141"/>
    </row>
    <row r="141" spans="1:11" x14ac:dyDescent="0.2">
      <c r="A141" s="157" t="s">
        <v>61</v>
      </c>
      <c r="B141" s="361" t="str">
        <f>A107</f>
        <v>MÓDULO 5 – INSUMOS DIVERSOS</v>
      </c>
      <c r="C141" s="361"/>
      <c r="D141" s="361"/>
      <c r="E141" s="361"/>
      <c r="F141" s="361"/>
      <c r="G141" s="361"/>
      <c r="H141" s="361"/>
      <c r="I141" s="77">
        <f>I113</f>
        <v>603.11</v>
      </c>
    </row>
    <row r="142" spans="1:11" x14ac:dyDescent="0.2">
      <c r="A142" s="79"/>
      <c r="B142" s="379" t="s">
        <v>116</v>
      </c>
      <c r="C142" s="379"/>
      <c r="D142" s="379"/>
      <c r="E142" s="379"/>
      <c r="F142" s="379"/>
      <c r="G142" s="379"/>
      <c r="H142" s="379"/>
      <c r="I142" s="77">
        <f>TRUNC(SUM(I137:I141),2)</f>
        <v>4283.54</v>
      </c>
    </row>
    <row r="143" spans="1:11" ht="13.15" hidden="1" customHeight="1" x14ac:dyDescent="0.2">
      <c r="A143" s="62" t="s">
        <v>63</v>
      </c>
      <c r="B143" s="361" t="str">
        <f>A118</f>
        <v>MÓDULO 6 – CUSTOS INDIRETOS, TRIBUTOS E LUCRO</v>
      </c>
      <c r="C143" s="361"/>
      <c r="D143" s="361"/>
      <c r="E143" s="361"/>
      <c r="F143" s="361"/>
      <c r="G143" s="361"/>
      <c r="H143" s="361"/>
      <c r="I143" s="86">
        <f>I126</f>
        <v>0</v>
      </c>
    </row>
    <row r="144" spans="1:11" ht="40.5" hidden="1" customHeight="1" thickBot="1" x14ac:dyDescent="0.25">
      <c r="A144" s="379" t="s">
        <v>117</v>
      </c>
      <c r="B144" s="379"/>
      <c r="C144" s="379"/>
      <c r="D144" s="379"/>
      <c r="E144" s="379"/>
      <c r="F144" s="379"/>
      <c r="G144" s="379"/>
      <c r="H144" s="379"/>
      <c r="I144" s="10">
        <f>TRUNC(SUM(I142:I143),2)</f>
        <v>4283.54</v>
      </c>
    </row>
    <row r="145" spans="1:9" ht="13.15" hidden="1" customHeight="1" x14ac:dyDescent="0.2">
      <c r="A145" s="65"/>
      <c r="B145" s="370" t="s">
        <v>118</v>
      </c>
      <c r="C145" s="370"/>
      <c r="D145" s="370"/>
      <c r="E145" s="370"/>
      <c r="F145" s="370"/>
      <c r="G145" s="370"/>
      <c r="H145" s="82"/>
      <c r="I145" s="82"/>
    </row>
    <row r="146" spans="1:9" ht="26.65" hidden="1" customHeight="1" thickBot="1" x14ac:dyDescent="0.25">
      <c r="A146" s="371" t="s">
        <v>119</v>
      </c>
      <c r="B146" s="372"/>
      <c r="C146" s="371" t="s">
        <v>120</v>
      </c>
      <c r="D146" s="372"/>
      <c r="E146" s="371" t="s">
        <v>121</v>
      </c>
      <c r="F146" s="372"/>
      <c r="G146" s="158" t="s">
        <v>122</v>
      </c>
      <c r="H146" s="159" t="s">
        <v>123</v>
      </c>
      <c r="I146" s="160" t="s">
        <v>56</v>
      </c>
    </row>
    <row r="147" spans="1:9" ht="13.15" hidden="1" customHeight="1" x14ac:dyDescent="0.2">
      <c r="A147" s="373" t="s">
        <v>124</v>
      </c>
      <c r="B147" s="374"/>
      <c r="C147" s="375" t="s">
        <v>125</v>
      </c>
      <c r="D147" s="376"/>
      <c r="E147" s="377"/>
      <c r="F147" s="378"/>
      <c r="G147" s="161" t="s">
        <v>125</v>
      </c>
      <c r="H147" s="162"/>
      <c r="I147" s="163">
        <v>0</v>
      </c>
    </row>
    <row r="148" spans="1:9" ht="13.15" hidden="1" customHeight="1" x14ac:dyDescent="0.2">
      <c r="A148" s="380" t="s">
        <v>126</v>
      </c>
      <c r="B148" s="381"/>
      <c r="C148" s="382" t="s">
        <v>125</v>
      </c>
      <c r="D148" s="383"/>
      <c r="E148" s="384"/>
      <c r="F148" s="385"/>
      <c r="G148" s="164" t="s">
        <v>125</v>
      </c>
      <c r="H148" s="165"/>
      <c r="I148" s="166">
        <v>0</v>
      </c>
    </row>
    <row r="149" spans="1:9" ht="13.15" hidden="1" customHeight="1" x14ac:dyDescent="0.2">
      <c r="A149" s="380" t="s">
        <v>127</v>
      </c>
      <c r="B149" s="381"/>
      <c r="C149" s="382" t="s">
        <v>125</v>
      </c>
      <c r="D149" s="383"/>
      <c r="E149" s="384"/>
      <c r="F149" s="385"/>
      <c r="G149" s="164" t="s">
        <v>125</v>
      </c>
      <c r="H149" s="165"/>
      <c r="I149" s="166">
        <v>0</v>
      </c>
    </row>
    <row r="150" spans="1:9" ht="13.15" hidden="1" customHeight="1" x14ac:dyDescent="0.2">
      <c r="A150" s="380" t="s">
        <v>128</v>
      </c>
      <c r="B150" s="381"/>
      <c r="C150" s="382" t="s">
        <v>125</v>
      </c>
      <c r="D150" s="383"/>
      <c r="E150" s="384"/>
      <c r="F150" s="385"/>
      <c r="G150" s="164" t="s">
        <v>125</v>
      </c>
      <c r="H150" s="165"/>
      <c r="I150" s="166">
        <v>0</v>
      </c>
    </row>
    <row r="151" spans="1:9" ht="13.15" hidden="1" customHeight="1" x14ac:dyDescent="0.2">
      <c r="A151" s="498"/>
      <c r="B151" s="454"/>
      <c r="C151" s="384"/>
      <c r="D151" s="385"/>
      <c r="E151" s="384"/>
      <c r="F151" s="385"/>
      <c r="G151" s="167"/>
      <c r="H151" s="168"/>
      <c r="I151" s="166"/>
    </row>
    <row r="152" spans="1:9" ht="13.5" hidden="1" customHeight="1" thickBot="1" x14ac:dyDescent="0.25">
      <c r="A152" s="386"/>
      <c r="B152" s="387"/>
      <c r="C152" s="388"/>
      <c r="D152" s="389"/>
      <c r="E152" s="388"/>
      <c r="F152" s="389"/>
      <c r="G152" s="169"/>
      <c r="H152" s="170"/>
      <c r="I152" s="171"/>
    </row>
    <row r="153" spans="1:9" ht="13.5" hidden="1" customHeight="1" thickBot="1" x14ac:dyDescent="0.25">
      <c r="A153" s="367" t="s">
        <v>129</v>
      </c>
      <c r="B153" s="368"/>
      <c r="C153" s="368"/>
      <c r="D153" s="368"/>
      <c r="E153" s="368"/>
      <c r="F153" s="368"/>
      <c r="G153" s="368"/>
      <c r="H153" s="369"/>
      <c r="I153" s="172">
        <f>SUM(I151:I152)</f>
        <v>0</v>
      </c>
    </row>
    <row r="154" spans="1:9" ht="13.15" hidden="1" customHeight="1" x14ac:dyDescent="0.2"/>
    <row r="155" spans="1:9" ht="13.15" hidden="1" customHeight="1" x14ac:dyDescent="0.2">
      <c r="A155" s="65" t="s">
        <v>130</v>
      </c>
      <c r="B155" s="370" t="s">
        <v>131</v>
      </c>
      <c r="C155" s="370"/>
      <c r="D155" s="370"/>
      <c r="E155" s="370"/>
      <c r="F155" s="370"/>
      <c r="G155" s="370"/>
      <c r="H155" s="82"/>
      <c r="I155" s="82"/>
    </row>
    <row r="156" spans="1:9" ht="13.5" hidden="1" customHeight="1" thickBot="1" x14ac:dyDescent="0.25">
      <c r="A156" s="475" t="s">
        <v>132</v>
      </c>
      <c r="B156" s="476"/>
      <c r="C156" s="476"/>
      <c r="D156" s="476"/>
      <c r="E156" s="476"/>
      <c r="F156" s="476"/>
      <c r="G156" s="476"/>
      <c r="H156" s="476"/>
      <c r="I156" s="477"/>
    </row>
    <row r="157" spans="1:9" ht="13.5" hidden="1" customHeight="1" thickBot="1" x14ac:dyDescent="0.25">
      <c r="A157" s="173"/>
      <c r="B157" s="346" t="s">
        <v>0</v>
      </c>
      <c r="C157" s="347"/>
      <c r="D157" s="347"/>
      <c r="E157" s="347"/>
      <c r="F157" s="347"/>
      <c r="G157" s="347"/>
      <c r="H157" s="348"/>
      <c r="I157" s="160" t="s">
        <v>56</v>
      </c>
    </row>
    <row r="158" spans="1:9" ht="13.15" hidden="1" customHeight="1" x14ac:dyDescent="0.2">
      <c r="A158" s="174" t="s">
        <v>34</v>
      </c>
      <c r="B158" s="349" t="s">
        <v>133</v>
      </c>
      <c r="C158" s="350"/>
      <c r="D158" s="350"/>
      <c r="E158" s="350"/>
      <c r="F158" s="350"/>
      <c r="G158" s="350"/>
      <c r="H158" s="351"/>
      <c r="I158" s="175">
        <f>I122</f>
        <v>818.02429693965098</v>
      </c>
    </row>
    <row r="159" spans="1:9" ht="13.15" hidden="1" customHeight="1" x14ac:dyDescent="0.2">
      <c r="A159" s="176" t="s">
        <v>36</v>
      </c>
      <c r="B159" s="352" t="s">
        <v>134</v>
      </c>
      <c r="C159" s="353"/>
      <c r="D159" s="353"/>
      <c r="E159" s="353"/>
      <c r="F159" s="353"/>
      <c r="G159" s="353"/>
      <c r="H159" s="354"/>
      <c r="I159" s="177" t="e">
        <f>#REF!</f>
        <v>#REF!</v>
      </c>
    </row>
    <row r="160" spans="1:9" ht="13.5" hidden="1" customHeight="1" thickBot="1" x14ac:dyDescent="0.25">
      <c r="A160" s="176" t="s">
        <v>38</v>
      </c>
      <c r="B160" s="355" t="s">
        <v>135</v>
      </c>
      <c r="C160" s="356"/>
      <c r="D160" s="356"/>
      <c r="E160" s="356"/>
      <c r="F160" s="356"/>
      <c r="G160" s="356"/>
      <c r="H160" s="357"/>
      <c r="I160" s="177">
        <f>I126</f>
        <v>0</v>
      </c>
    </row>
    <row r="161" spans="1:10" ht="13.5" hidden="1" customHeight="1" thickBot="1" x14ac:dyDescent="0.25">
      <c r="A161" s="358" t="s">
        <v>10</v>
      </c>
      <c r="B161" s="359"/>
      <c r="C161" s="359"/>
      <c r="D161" s="359"/>
      <c r="E161" s="359"/>
      <c r="F161" s="359"/>
      <c r="G161" s="359"/>
      <c r="H161" s="360"/>
      <c r="I161" s="172" t="e">
        <f>SUM(I158:I160)</f>
        <v>#REF!</v>
      </c>
    </row>
    <row r="162" spans="1:10" ht="13.15" hidden="1" customHeight="1" x14ac:dyDescent="0.2">
      <c r="A162" s="178" t="s">
        <v>136</v>
      </c>
      <c r="B162" s="13" t="s">
        <v>137</v>
      </c>
    </row>
    <row r="163" spans="1:10" x14ac:dyDescent="0.2">
      <c r="A163" s="157" t="s">
        <v>63</v>
      </c>
      <c r="B163" s="361" t="s">
        <v>109</v>
      </c>
      <c r="C163" s="361"/>
      <c r="D163" s="361"/>
      <c r="E163" s="361"/>
      <c r="F163" s="361"/>
      <c r="G163" s="361"/>
      <c r="H163" s="361"/>
      <c r="I163" s="77">
        <f>I132</f>
        <v>1456.9742503962748</v>
      </c>
    </row>
    <row r="164" spans="1:10" x14ac:dyDescent="0.2">
      <c r="A164" s="362" t="s">
        <v>197</v>
      </c>
      <c r="B164" s="363"/>
      <c r="C164" s="363"/>
      <c r="D164" s="363"/>
      <c r="E164" s="363"/>
      <c r="F164" s="363"/>
      <c r="G164" s="363"/>
      <c r="H164" s="364"/>
      <c r="I164" s="9">
        <f>I133</f>
        <v>5740.521382032638</v>
      </c>
    </row>
    <row r="165" spans="1:10" x14ac:dyDescent="0.2">
      <c r="A165" s="12"/>
      <c r="B165" s="12"/>
    </row>
    <row r="166" spans="1:10" x14ac:dyDescent="0.2">
      <c r="A166" s="337" t="s">
        <v>28</v>
      </c>
      <c r="B166" s="338"/>
      <c r="C166" s="179" t="s">
        <v>144</v>
      </c>
      <c r="D166" s="339" t="s">
        <v>146</v>
      </c>
      <c r="E166" s="340"/>
      <c r="F166" s="180" t="s">
        <v>145</v>
      </c>
      <c r="J166" s="7"/>
    </row>
    <row r="167" spans="1:10" x14ac:dyDescent="0.2">
      <c r="A167" s="365" t="s">
        <v>1</v>
      </c>
      <c r="B167" s="366"/>
      <c r="C167" s="181">
        <f>'VI - Demonstrativo final-REAL'!G22</f>
        <v>95405.232817780518</v>
      </c>
      <c r="D167" s="341">
        <v>12</v>
      </c>
      <c r="E167" s="341"/>
      <c r="F167" s="182">
        <f>C167*D167</f>
        <v>1144862.7938133662</v>
      </c>
      <c r="J167" s="7"/>
    </row>
    <row r="168" spans="1:10" x14ac:dyDescent="0.2">
      <c r="A168" s="183" t="s">
        <v>30</v>
      </c>
      <c r="B168" s="184"/>
      <c r="C168" s="181">
        <f>'VI - Demonstrativo final-REAL'!G34</f>
        <v>44511.390998406394</v>
      </c>
      <c r="D168" s="341">
        <v>12</v>
      </c>
      <c r="E168" s="341"/>
      <c r="F168" s="182">
        <f>C168*D168</f>
        <v>534136.69198087673</v>
      </c>
    </row>
    <row r="169" spans="1:10" x14ac:dyDescent="0.2">
      <c r="A169" s="183" t="s">
        <v>2</v>
      </c>
      <c r="B169" s="184"/>
      <c r="C169" s="185">
        <f>'VI - Demonstrativo final-REAL'!J40</f>
        <v>530.99103298376144</v>
      </c>
      <c r="D169" s="341">
        <v>12</v>
      </c>
      <c r="E169" s="341"/>
      <c r="F169" s="182">
        <f>C169*D169</f>
        <v>6371.8923958051373</v>
      </c>
    </row>
    <row r="170" spans="1:10" x14ac:dyDescent="0.2">
      <c r="A170" s="342" t="s">
        <v>147</v>
      </c>
      <c r="B170" s="343"/>
      <c r="C170" s="186">
        <f>SUM(C167:C169)</f>
        <v>140447.61484917067</v>
      </c>
      <c r="D170" s="344"/>
      <c r="E170" s="345"/>
      <c r="F170" s="187">
        <f>SUM(F167:F169)</f>
        <v>1685371.378190048</v>
      </c>
    </row>
  </sheetData>
  <mergeCells count="176">
    <mergeCell ref="A167:B167"/>
    <mergeCell ref="D167:E167"/>
    <mergeCell ref="D168:E168"/>
    <mergeCell ref="D169:E169"/>
    <mergeCell ref="A170:B170"/>
    <mergeCell ref="D170:E170"/>
    <mergeCell ref="B160:H160"/>
    <mergeCell ref="A161:H161"/>
    <mergeCell ref="B163:H163"/>
    <mergeCell ref="A164:H164"/>
    <mergeCell ref="A166:B166"/>
    <mergeCell ref="D166:E166"/>
    <mergeCell ref="A153:H153"/>
    <mergeCell ref="B155:G155"/>
    <mergeCell ref="A156:I156"/>
    <mergeCell ref="B157:H157"/>
    <mergeCell ref="B158:H158"/>
    <mergeCell ref="B159:H159"/>
    <mergeCell ref="A151:B151"/>
    <mergeCell ref="C151:D151"/>
    <mergeCell ref="E151:F151"/>
    <mergeCell ref="A152:B152"/>
    <mergeCell ref="C152:D152"/>
    <mergeCell ref="E152:F152"/>
    <mergeCell ref="A149:B149"/>
    <mergeCell ref="C149:D149"/>
    <mergeCell ref="E149:F149"/>
    <mergeCell ref="A150:B150"/>
    <mergeCell ref="C150:D150"/>
    <mergeCell ref="E150:F150"/>
    <mergeCell ref="A147:B147"/>
    <mergeCell ref="C147:D147"/>
    <mergeCell ref="E147:F147"/>
    <mergeCell ref="A148:B148"/>
    <mergeCell ref="C148:D148"/>
    <mergeCell ref="E148:F148"/>
    <mergeCell ref="B142:H142"/>
    <mergeCell ref="B143:H143"/>
    <mergeCell ref="A144:H144"/>
    <mergeCell ref="B145:G145"/>
    <mergeCell ref="A146:B146"/>
    <mergeCell ref="C146:D146"/>
    <mergeCell ref="E146:F146"/>
    <mergeCell ref="A136:H136"/>
    <mergeCell ref="B137:H137"/>
    <mergeCell ref="B138:H138"/>
    <mergeCell ref="B139:H139"/>
    <mergeCell ref="B140:H140"/>
    <mergeCell ref="B141:H141"/>
    <mergeCell ref="B128:D128"/>
    <mergeCell ref="B129:G129"/>
    <mergeCell ref="B130:D130"/>
    <mergeCell ref="B131:D131"/>
    <mergeCell ref="A132:G132"/>
    <mergeCell ref="A135:I135"/>
    <mergeCell ref="B121:G121"/>
    <mergeCell ref="A122:A131"/>
    <mergeCell ref="B122:G122"/>
    <mergeCell ref="H122:H131"/>
    <mergeCell ref="I122:I131"/>
    <mergeCell ref="B123:G123"/>
    <mergeCell ref="B124:D124"/>
    <mergeCell ref="B125:D125"/>
    <mergeCell ref="B126:D126"/>
    <mergeCell ref="B127:G127"/>
    <mergeCell ref="A113:G113"/>
    <mergeCell ref="A115:H115"/>
    <mergeCell ref="A116:H116"/>
    <mergeCell ref="A118:I118"/>
    <mergeCell ref="B119:G119"/>
    <mergeCell ref="B120:G120"/>
    <mergeCell ref="A107:I107"/>
    <mergeCell ref="B108:G108"/>
    <mergeCell ref="B109:G109"/>
    <mergeCell ref="B110:G110"/>
    <mergeCell ref="B112:G112"/>
    <mergeCell ref="B111:G111"/>
    <mergeCell ref="A101:I101"/>
    <mergeCell ref="A102:H102"/>
    <mergeCell ref="B103:H103"/>
    <mergeCell ref="B104:H104"/>
    <mergeCell ref="A105:H105"/>
    <mergeCell ref="A106:I106"/>
    <mergeCell ref="A95:I95"/>
    <mergeCell ref="A96:I96"/>
    <mergeCell ref="A97:G97"/>
    <mergeCell ref="B98:G98"/>
    <mergeCell ref="A99:G99"/>
    <mergeCell ref="A100:I100"/>
    <mergeCell ref="B89:G89"/>
    <mergeCell ref="B90:G90"/>
    <mergeCell ref="B91:G91"/>
    <mergeCell ref="B92:G92"/>
    <mergeCell ref="B93:G93"/>
    <mergeCell ref="A94:G94"/>
    <mergeCell ref="A82:I82"/>
    <mergeCell ref="A83:I83"/>
    <mergeCell ref="A85:I85"/>
    <mergeCell ref="A86:H86"/>
    <mergeCell ref="A87:G87"/>
    <mergeCell ref="B88:G88"/>
    <mergeCell ref="B76:G76"/>
    <mergeCell ref="B77:G77"/>
    <mergeCell ref="B78:G78"/>
    <mergeCell ref="B79:G79"/>
    <mergeCell ref="B80:G80"/>
    <mergeCell ref="A81:G81"/>
    <mergeCell ref="A70:H70"/>
    <mergeCell ref="A71:I71"/>
    <mergeCell ref="A72:H72"/>
    <mergeCell ref="A73:H73"/>
    <mergeCell ref="B74:G74"/>
    <mergeCell ref="B75:G75"/>
    <mergeCell ref="A63:I63"/>
    <mergeCell ref="A65:I65"/>
    <mergeCell ref="A66:H66"/>
    <mergeCell ref="B67:H67"/>
    <mergeCell ref="B68:H68"/>
    <mergeCell ref="B69:H69"/>
    <mergeCell ref="A57:G57"/>
    <mergeCell ref="B58:G58"/>
    <mergeCell ref="B59:G59"/>
    <mergeCell ref="B60:G60"/>
    <mergeCell ref="B61:G61"/>
    <mergeCell ref="A62:H62"/>
    <mergeCell ref="B51:G51"/>
    <mergeCell ref="B52:G52"/>
    <mergeCell ref="B53:G53"/>
    <mergeCell ref="A54:G54"/>
    <mergeCell ref="A55:I55"/>
    <mergeCell ref="A56:I56"/>
    <mergeCell ref="A45:G45"/>
    <mergeCell ref="B46:G46"/>
    <mergeCell ref="B47:G47"/>
    <mergeCell ref="B48:G48"/>
    <mergeCell ref="B49:G49"/>
    <mergeCell ref="B50:G50"/>
    <mergeCell ref="A37:G37"/>
    <mergeCell ref="B38:G38"/>
    <mergeCell ref="B39:G39"/>
    <mergeCell ref="A40:G40"/>
    <mergeCell ref="A42:I42"/>
    <mergeCell ref="A44:H44"/>
    <mergeCell ref="B30:G30"/>
    <mergeCell ref="B31:G31"/>
    <mergeCell ref="B32:G32"/>
    <mergeCell ref="A33:H33"/>
    <mergeCell ref="A34:I34"/>
    <mergeCell ref="A36:I36"/>
    <mergeCell ref="A24:I24"/>
    <mergeCell ref="A25:I25"/>
    <mergeCell ref="B26:G26"/>
    <mergeCell ref="B27:G27"/>
    <mergeCell ref="B28:G28"/>
    <mergeCell ref="B29:G29"/>
    <mergeCell ref="A16:I16"/>
    <mergeCell ref="B17:H17"/>
    <mergeCell ref="B18:H18"/>
    <mergeCell ref="B19:H19"/>
    <mergeCell ref="B20:H20"/>
    <mergeCell ref="B22:H22"/>
    <mergeCell ref="B21:H21"/>
    <mergeCell ref="B10:H10"/>
    <mergeCell ref="A12:I12"/>
    <mergeCell ref="A13:B13"/>
    <mergeCell ref="C13:D13"/>
    <mergeCell ref="E13:I13"/>
    <mergeCell ref="A14:B14"/>
    <mergeCell ref="C14:D14"/>
    <mergeCell ref="E14:I14"/>
    <mergeCell ref="A1:I1"/>
    <mergeCell ref="A5:G5"/>
    <mergeCell ref="A6:I6"/>
    <mergeCell ref="B7:H7"/>
    <mergeCell ref="B8:H8"/>
    <mergeCell ref="B9:H9"/>
  </mergeCells>
  <pageMargins left="0.78740157480314965" right="0.59055118110236227" top="1.5748031496062993" bottom="0.59055118110236227" header="0.15748031496062992" footer="0.15748031496062992"/>
  <pageSetup paperSize="9" scale="75" firstPageNumber="0" orientation="portrait" horizontalDpi="300" verticalDpi="300" r:id="rId1"/>
  <headerFooter>
    <oddHeader>&amp;C&amp;G</oddHeader>
    <oddFooter>&amp;L&amp;D&amp;C&amp;Z&amp;F&amp;RPágina &amp;P</oddFooter>
  </headerFooter>
  <rowBreaks count="2" manualBreakCount="2">
    <brk id="54" max="8" man="1"/>
    <brk id="94" max="8" man="1"/>
  </rowBreaks>
  <colBreaks count="1" manualBreakCount="1">
    <brk id="9" max="1048575" man="1"/>
  </col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sheetPr>
  <dimension ref="A1:L151"/>
  <sheetViews>
    <sheetView view="pageBreakPreview" topLeftCell="A52" zoomScaleNormal="90" zoomScaleSheetLayoutView="100" workbookViewId="0">
      <selection activeCell="A65" sqref="A65:I65"/>
    </sheetView>
  </sheetViews>
  <sheetFormatPr defaultColWidth="9.28515625" defaultRowHeight="12.75" x14ac:dyDescent="0.2"/>
  <cols>
    <col min="1" max="1" width="10" style="13" bestFit="1" customWidth="1"/>
    <col min="2" max="2" width="9.28515625" style="13"/>
    <col min="3" max="3" width="12.5703125" style="13" customWidth="1"/>
    <col min="4" max="4" width="9.28515625" style="13" customWidth="1"/>
    <col min="5" max="5" width="14" style="13" customWidth="1"/>
    <col min="6" max="6" width="15.42578125" style="13" customWidth="1"/>
    <col min="7" max="7" width="16.28515625" style="13" customWidth="1"/>
    <col min="8" max="8" width="11.28515625" style="13" customWidth="1"/>
    <col min="9" max="9" width="13.28515625" style="13" customWidth="1"/>
    <col min="10" max="10" width="11.28515625" style="13" customWidth="1"/>
    <col min="11" max="11" width="10.28515625" style="13" customWidth="1"/>
    <col min="12" max="12" width="15.7109375" style="13" customWidth="1"/>
    <col min="13" max="13" width="9.5703125" style="13" bestFit="1" customWidth="1"/>
    <col min="14" max="16384" width="9.28515625" style="13"/>
  </cols>
  <sheetData>
    <row r="1" spans="1:9" x14ac:dyDescent="0.2">
      <c r="A1" s="466" t="s">
        <v>202</v>
      </c>
      <c r="B1" s="466"/>
      <c r="C1" s="466"/>
      <c r="D1" s="466"/>
      <c r="E1" s="466"/>
      <c r="F1" s="466"/>
      <c r="G1" s="466"/>
      <c r="H1" s="466"/>
      <c r="I1" s="466"/>
    </row>
    <row r="2" spans="1:9" x14ac:dyDescent="0.2">
      <c r="A2" s="61" t="s">
        <v>396</v>
      </c>
      <c r="B2" s="61"/>
      <c r="C2" s="61"/>
      <c r="D2" s="61"/>
      <c r="E2" s="61"/>
      <c r="F2" s="61"/>
      <c r="G2" s="61"/>
      <c r="H2" s="61"/>
      <c r="I2" s="61"/>
    </row>
    <row r="3" spans="1:9" x14ac:dyDescent="0.2">
      <c r="A3" s="61" t="s">
        <v>138</v>
      </c>
      <c r="B3" s="61"/>
      <c r="C3" s="61"/>
      <c r="D3" s="61"/>
      <c r="E3" s="61"/>
      <c r="F3" s="61"/>
      <c r="G3" s="61"/>
      <c r="H3" s="61"/>
      <c r="I3" s="61"/>
    </row>
    <row r="4" spans="1:9" x14ac:dyDescent="0.2">
      <c r="A4" s="199" t="s">
        <v>209</v>
      </c>
      <c r="B4" s="199"/>
      <c r="C4" s="199"/>
      <c r="D4" s="199"/>
      <c r="E4" s="199"/>
      <c r="F4" s="199"/>
      <c r="G4" s="199"/>
      <c r="H4" s="61"/>
      <c r="I4" s="61"/>
    </row>
    <row r="5" spans="1:9" x14ac:dyDescent="0.2">
      <c r="A5" s="467" t="s">
        <v>148</v>
      </c>
      <c r="B5" s="467"/>
      <c r="C5" s="467"/>
      <c r="D5" s="467"/>
      <c r="E5" s="467"/>
      <c r="F5" s="467"/>
      <c r="G5" s="467"/>
      <c r="H5" s="61"/>
      <c r="I5" s="61"/>
    </row>
    <row r="6" spans="1:9" x14ac:dyDescent="0.2">
      <c r="A6" s="468" t="s">
        <v>33</v>
      </c>
      <c r="B6" s="468"/>
      <c r="C6" s="468"/>
      <c r="D6" s="468"/>
      <c r="E6" s="468"/>
      <c r="F6" s="468"/>
      <c r="G6" s="468"/>
      <c r="H6" s="468"/>
      <c r="I6" s="468"/>
    </row>
    <row r="7" spans="1:9" x14ac:dyDescent="0.2">
      <c r="A7" s="62" t="s">
        <v>34</v>
      </c>
      <c r="B7" s="361" t="s">
        <v>35</v>
      </c>
      <c r="C7" s="361"/>
      <c r="D7" s="361"/>
      <c r="E7" s="361"/>
      <c r="F7" s="361"/>
      <c r="G7" s="361"/>
      <c r="H7" s="361"/>
      <c r="I7" s="63"/>
    </row>
    <row r="8" spans="1:9" x14ac:dyDescent="0.2">
      <c r="A8" s="62" t="s">
        <v>36</v>
      </c>
      <c r="B8" s="361" t="s">
        <v>37</v>
      </c>
      <c r="C8" s="361"/>
      <c r="D8" s="361"/>
      <c r="E8" s="361"/>
      <c r="F8" s="361"/>
      <c r="G8" s="361"/>
      <c r="H8" s="361"/>
      <c r="I8" s="64" t="s">
        <v>139</v>
      </c>
    </row>
    <row r="9" spans="1:9" x14ac:dyDescent="0.2">
      <c r="A9" s="62" t="s">
        <v>38</v>
      </c>
      <c r="B9" s="361" t="s">
        <v>203</v>
      </c>
      <c r="C9" s="361"/>
      <c r="D9" s="361"/>
      <c r="E9" s="361"/>
      <c r="F9" s="361"/>
      <c r="G9" s="361"/>
      <c r="H9" s="361"/>
      <c r="I9" s="62" t="s">
        <v>416</v>
      </c>
    </row>
    <row r="10" spans="1:9" x14ac:dyDescent="0.2">
      <c r="A10" s="62" t="s">
        <v>39</v>
      </c>
      <c r="B10" s="361" t="s">
        <v>40</v>
      </c>
      <c r="C10" s="361"/>
      <c r="D10" s="361"/>
      <c r="E10" s="361"/>
      <c r="F10" s="361"/>
      <c r="G10" s="361"/>
      <c r="H10" s="361"/>
      <c r="I10" s="62">
        <v>12</v>
      </c>
    </row>
    <row r="11" spans="1:9" x14ac:dyDescent="0.2">
      <c r="A11" s="65"/>
      <c r="B11" s="66"/>
      <c r="C11" s="66"/>
      <c r="D11" s="66"/>
      <c r="E11" s="66"/>
      <c r="F11" s="66"/>
      <c r="G11" s="66"/>
      <c r="H11" s="65"/>
      <c r="I11" s="65"/>
    </row>
    <row r="12" spans="1:9" x14ac:dyDescent="0.2">
      <c r="A12" s="468" t="s">
        <v>41</v>
      </c>
      <c r="B12" s="468"/>
      <c r="C12" s="468"/>
      <c r="D12" s="468"/>
      <c r="E12" s="468"/>
      <c r="F12" s="468"/>
      <c r="G12" s="468"/>
      <c r="H12" s="468"/>
      <c r="I12" s="468"/>
    </row>
    <row r="13" spans="1:9" x14ac:dyDescent="0.2">
      <c r="A13" s="380" t="s">
        <v>42</v>
      </c>
      <c r="B13" s="380"/>
      <c r="C13" s="380" t="s">
        <v>43</v>
      </c>
      <c r="D13" s="380"/>
      <c r="E13" s="380" t="s">
        <v>44</v>
      </c>
      <c r="F13" s="380"/>
      <c r="G13" s="380"/>
      <c r="H13" s="380"/>
      <c r="I13" s="380"/>
    </row>
    <row r="14" spans="1:9" x14ac:dyDescent="0.2">
      <c r="A14" s="380" t="s">
        <v>45</v>
      </c>
      <c r="B14" s="380"/>
      <c r="C14" s="380" t="s">
        <v>46</v>
      </c>
      <c r="D14" s="380"/>
      <c r="E14" s="380">
        <v>1</v>
      </c>
      <c r="F14" s="380"/>
      <c r="G14" s="380"/>
      <c r="H14" s="380"/>
      <c r="I14" s="380"/>
    </row>
    <row r="15" spans="1:9" x14ac:dyDescent="0.2">
      <c r="A15" s="65"/>
      <c r="B15" s="66"/>
      <c r="C15" s="66"/>
      <c r="D15" s="66"/>
      <c r="E15" s="66"/>
      <c r="F15" s="66"/>
      <c r="G15" s="66"/>
      <c r="H15" s="65"/>
      <c r="I15" s="65"/>
    </row>
    <row r="16" spans="1:9" x14ac:dyDescent="0.2">
      <c r="A16" s="468" t="s">
        <v>47</v>
      </c>
      <c r="B16" s="468"/>
      <c r="C16" s="468"/>
      <c r="D16" s="468"/>
      <c r="E16" s="468"/>
      <c r="F16" s="468"/>
      <c r="G16" s="468"/>
      <c r="H16" s="468"/>
      <c r="I16" s="468"/>
    </row>
    <row r="17" spans="1:10" s="197" customFormat="1" ht="26.45" customHeight="1" x14ac:dyDescent="0.2">
      <c r="A17" s="16">
        <v>1</v>
      </c>
      <c r="B17" s="512" t="s">
        <v>48</v>
      </c>
      <c r="C17" s="512"/>
      <c r="D17" s="512"/>
      <c r="E17" s="512"/>
      <c r="F17" s="512"/>
      <c r="G17" s="512"/>
      <c r="H17" s="512"/>
      <c r="I17" s="198" t="s">
        <v>140</v>
      </c>
    </row>
    <row r="18" spans="1:10" x14ac:dyDescent="0.2">
      <c r="A18" s="62">
        <v>2</v>
      </c>
      <c r="B18" s="361" t="s">
        <v>49</v>
      </c>
      <c r="C18" s="361"/>
      <c r="D18" s="361"/>
      <c r="E18" s="361"/>
      <c r="F18" s="361"/>
      <c r="G18" s="361"/>
      <c r="H18" s="361"/>
      <c r="I18" s="62" t="s">
        <v>207</v>
      </c>
    </row>
    <row r="19" spans="1:10" x14ac:dyDescent="0.2">
      <c r="A19" s="62">
        <v>3</v>
      </c>
      <c r="B19" s="361" t="s">
        <v>50</v>
      </c>
      <c r="C19" s="361"/>
      <c r="D19" s="361"/>
      <c r="E19" s="361"/>
      <c r="F19" s="361"/>
      <c r="G19" s="361"/>
      <c r="H19" s="361"/>
      <c r="I19" s="69">
        <v>1795.03</v>
      </c>
      <c r="J19" s="70"/>
    </row>
    <row r="20" spans="1:10" x14ac:dyDescent="0.2">
      <c r="A20" s="62">
        <v>4</v>
      </c>
      <c r="B20" s="361" t="s">
        <v>51</v>
      </c>
      <c r="C20" s="361"/>
      <c r="D20" s="361"/>
      <c r="E20" s="361"/>
      <c r="F20" s="361"/>
      <c r="G20" s="361"/>
      <c r="H20" s="361"/>
      <c r="I20" s="71" t="s">
        <v>170</v>
      </c>
    </row>
    <row r="21" spans="1:10" x14ac:dyDescent="0.2">
      <c r="A21" s="16">
        <v>5</v>
      </c>
      <c r="B21" s="461" t="s">
        <v>402</v>
      </c>
      <c r="C21" s="462"/>
      <c r="D21" s="462"/>
      <c r="E21" s="462"/>
      <c r="F21" s="462"/>
      <c r="G21" s="462"/>
      <c r="H21" s="463"/>
      <c r="I21" s="201">
        <v>26</v>
      </c>
    </row>
    <row r="22" spans="1:10" x14ac:dyDescent="0.2">
      <c r="A22" s="67">
        <v>6</v>
      </c>
      <c r="B22" s="361" t="s">
        <v>52</v>
      </c>
      <c r="C22" s="361"/>
      <c r="D22" s="361"/>
      <c r="E22" s="361"/>
      <c r="F22" s="361"/>
      <c r="G22" s="361"/>
      <c r="H22" s="361"/>
      <c r="I22" s="63">
        <v>44562</v>
      </c>
    </row>
    <row r="23" spans="1:10" x14ac:dyDescent="0.2">
      <c r="A23" s="72"/>
      <c r="B23" s="73"/>
      <c r="C23" s="73"/>
      <c r="D23" s="73"/>
      <c r="E23" s="73"/>
      <c r="F23" s="73"/>
      <c r="G23" s="73"/>
      <c r="H23" s="73"/>
      <c r="I23" s="74"/>
    </row>
    <row r="24" spans="1:10" x14ac:dyDescent="0.2">
      <c r="A24" s="513" t="s">
        <v>171</v>
      </c>
      <c r="B24" s="514"/>
      <c r="C24" s="514"/>
      <c r="D24" s="514"/>
      <c r="E24" s="514"/>
      <c r="F24" s="514"/>
      <c r="G24" s="514"/>
      <c r="H24" s="514"/>
      <c r="I24" s="515"/>
    </row>
    <row r="25" spans="1:10" x14ac:dyDescent="0.2">
      <c r="A25" s="407" t="s">
        <v>53</v>
      </c>
      <c r="B25" s="407"/>
      <c r="C25" s="407"/>
      <c r="D25" s="407"/>
      <c r="E25" s="407"/>
      <c r="F25" s="407"/>
      <c r="G25" s="407"/>
      <c r="H25" s="407"/>
      <c r="I25" s="407"/>
    </row>
    <row r="26" spans="1:10" x14ac:dyDescent="0.2">
      <c r="A26" s="75">
        <v>1</v>
      </c>
      <c r="B26" s="379" t="s">
        <v>54</v>
      </c>
      <c r="C26" s="379"/>
      <c r="D26" s="379"/>
      <c r="E26" s="379"/>
      <c r="F26" s="379"/>
      <c r="G26" s="379"/>
      <c r="H26" s="75" t="s">
        <v>55</v>
      </c>
      <c r="I26" s="75" t="s">
        <v>56</v>
      </c>
    </row>
    <row r="27" spans="1:10" x14ac:dyDescent="0.2">
      <c r="A27" s="75" t="s">
        <v>34</v>
      </c>
      <c r="B27" s="361" t="s">
        <v>57</v>
      </c>
      <c r="C27" s="361"/>
      <c r="D27" s="361"/>
      <c r="E27" s="361"/>
      <c r="F27" s="361"/>
      <c r="G27" s="361"/>
      <c r="H27" s="17"/>
      <c r="I27" s="77">
        <v>1795.03</v>
      </c>
    </row>
    <row r="28" spans="1:10" x14ac:dyDescent="0.2">
      <c r="A28" s="75" t="s">
        <v>36</v>
      </c>
      <c r="B28" s="361" t="s">
        <v>58</v>
      </c>
      <c r="C28" s="361"/>
      <c r="D28" s="361"/>
      <c r="E28" s="361"/>
      <c r="F28" s="361"/>
      <c r="G28" s="361"/>
      <c r="H28" s="78"/>
      <c r="I28" s="77">
        <v>0</v>
      </c>
    </row>
    <row r="29" spans="1:10" x14ac:dyDescent="0.2">
      <c r="A29" s="75" t="s">
        <v>38</v>
      </c>
      <c r="B29" s="361" t="s">
        <v>59</v>
      </c>
      <c r="C29" s="361"/>
      <c r="D29" s="361"/>
      <c r="E29" s="361"/>
      <c r="F29" s="361"/>
      <c r="G29" s="361"/>
      <c r="H29" s="78"/>
      <c r="I29" s="77">
        <f>H29*I27</f>
        <v>0</v>
      </c>
    </row>
    <row r="30" spans="1:10" x14ac:dyDescent="0.2">
      <c r="A30" s="75" t="s">
        <v>39</v>
      </c>
      <c r="B30" s="361" t="s">
        <v>60</v>
      </c>
      <c r="C30" s="361"/>
      <c r="D30" s="361"/>
      <c r="E30" s="361"/>
      <c r="F30" s="361"/>
      <c r="G30" s="361"/>
      <c r="H30" s="78"/>
      <c r="I30" s="77">
        <v>0</v>
      </c>
    </row>
    <row r="31" spans="1:10" x14ac:dyDescent="0.2">
      <c r="A31" s="79" t="s">
        <v>61</v>
      </c>
      <c r="B31" s="361" t="s">
        <v>62</v>
      </c>
      <c r="C31" s="361"/>
      <c r="D31" s="361"/>
      <c r="E31" s="361"/>
      <c r="F31" s="361"/>
      <c r="G31" s="361"/>
      <c r="H31" s="80"/>
      <c r="I31" s="77">
        <v>0</v>
      </c>
    </row>
    <row r="32" spans="1:10" x14ac:dyDescent="0.2">
      <c r="A32" s="79" t="s">
        <v>63</v>
      </c>
      <c r="B32" s="361" t="s">
        <v>65</v>
      </c>
      <c r="C32" s="361"/>
      <c r="D32" s="361"/>
      <c r="E32" s="361"/>
      <c r="F32" s="361"/>
      <c r="G32" s="361"/>
      <c r="H32" s="78"/>
      <c r="I32" s="77">
        <v>0</v>
      </c>
    </row>
    <row r="33" spans="1:12" x14ac:dyDescent="0.2">
      <c r="A33" s="454" t="s">
        <v>66</v>
      </c>
      <c r="B33" s="455"/>
      <c r="C33" s="455"/>
      <c r="D33" s="455"/>
      <c r="E33" s="455"/>
      <c r="F33" s="455"/>
      <c r="G33" s="455"/>
      <c r="H33" s="456"/>
      <c r="I33" s="81">
        <f>SUM(I27:I32)</f>
        <v>1795.03</v>
      </c>
    </row>
    <row r="34" spans="1:12" x14ac:dyDescent="0.2">
      <c r="A34" s="460" t="s">
        <v>179</v>
      </c>
      <c r="B34" s="460"/>
      <c r="C34" s="460"/>
      <c r="D34" s="460"/>
      <c r="E34" s="460"/>
      <c r="F34" s="460"/>
      <c r="G34" s="460"/>
      <c r="H34" s="460"/>
      <c r="I34" s="460"/>
    </row>
    <row r="35" spans="1:12" x14ac:dyDescent="0.2">
      <c r="A35" s="82"/>
      <c r="B35" s="82"/>
      <c r="C35" s="82"/>
      <c r="D35" s="82"/>
      <c r="E35" s="82"/>
      <c r="F35" s="82"/>
      <c r="G35" s="82"/>
      <c r="H35" s="82"/>
      <c r="I35" s="83"/>
    </row>
    <row r="36" spans="1:12" x14ac:dyDescent="0.2">
      <c r="A36" s="407" t="s">
        <v>67</v>
      </c>
      <c r="B36" s="407"/>
      <c r="C36" s="407"/>
      <c r="D36" s="407"/>
      <c r="E36" s="407"/>
      <c r="F36" s="407"/>
      <c r="G36" s="407"/>
      <c r="H36" s="407"/>
      <c r="I36" s="407"/>
      <c r="J36" s="84"/>
    </row>
    <row r="37" spans="1:12" x14ac:dyDescent="0.2">
      <c r="A37" s="379" t="s">
        <v>68</v>
      </c>
      <c r="B37" s="379"/>
      <c r="C37" s="379"/>
      <c r="D37" s="379"/>
      <c r="E37" s="379"/>
      <c r="F37" s="379"/>
      <c r="G37" s="379"/>
      <c r="H37" s="75" t="s">
        <v>55</v>
      </c>
      <c r="I37" s="75" t="s">
        <v>56</v>
      </c>
      <c r="J37" s="84"/>
    </row>
    <row r="38" spans="1:12" ht="12.75" customHeight="1" x14ac:dyDescent="0.2">
      <c r="A38" s="75" t="s">
        <v>34</v>
      </c>
      <c r="B38" s="361" t="s">
        <v>385</v>
      </c>
      <c r="C38" s="361"/>
      <c r="D38" s="361"/>
      <c r="E38" s="361"/>
      <c r="F38" s="361"/>
      <c r="G38" s="361"/>
      <c r="H38" s="85">
        <f>1/12</f>
        <v>8.3333333333333329E-2</v>
      </c>
      <c r="I38" s="8">
        <f>$I$27*H38</f>
        <v>149.58583333333331</v>
      </c>
      <c r="J38" s="87"/>
    </row>
    <row r="39" spans="1:12" x14ac:dyDescent="0.2">
      <c r="A39" s="75" t="s">
        <v>36</v>
      </c>
      <c r="B39" s="457" t="s">
        <v>386</v>
      </c>
      <c r="C39" s="458"/>
      <c r="D39" s="458"/>
      <c r="E39" s="458"/>
      <c r="F39" s="458"/>
      <c r="G39" s="459"/>
      <c r="H39" s="88">
        <f>((1/11)+((1/3)/11))</f>
        <v>0.12121212121212122</v>
      </c>
      <c r="I39" s="8">
        <f>$I$27*H39</f>
        <v>217.57939393939395</v>
      </c>
      <c r="J39" s="203"/>
    </row>
    <row r="40" spans="1:12" x14ac:dyDescent="0.2">
      <c r="A40" s="379" t="s">
        <v>69</v>
      </c>
      <c r="B40" s="379"/>
      <c r="C40" s="379"/>
      <c r="D40" s="379"/>
      <c r="E40" s="379"/>
      <c r="F40" s="379"/>
      <c r="G40" s="379"/>
      <c r="H40" s="89">
        <f>TRUNC(SUM(H38:H39),4)</f>
        <v>0.20449999999999999</v>
      </c>
      <c r="I40" s="10">
        <f t="shared" ref="I40" si="0">$I$27*H40</f>
        <v>367.08363499999996</v>
      </c>
      <c r="J40" s="84"/>
    </row>
    <row r="41" spans="1:12" ht="15.75" customHeight="1" x14ac:dyDescent="0.2">
      <c r="A41" s="82"/>
      <c r="B41" s="82"/>
      <c r="C41" s="82"/>
      <c r="D41" s="82"/>
      <c r="E41" s="82"/>
      <c r="F41" s="82"/>
      <c r="G41" s="82"/>
      <c r="H41" s="91"/>
      <c r="I41" s="92"/>
      <c r="J41" s="93"/>
      <c r="L41" s="94">
        <f>(1/3)/11</f>
        <v>3.03030303030303E-2</v>
      </c>
    </row>
    <row r="42" spans="1:12" ht="137.25" customHeight="1" x14ac:dyDescent="0.2">
      <c r="A42" s="433" t="s">
        <v>405</v>
      </c>
      <c r="B42" s="449"/>
      <c r="C42" s="449"/>
      <c r="D42" s="449"/>
      <c r="E42" s="449"/>
      <c r="F42" s="449"/>
      <c r="G42" s="449"/>
      <c r="H42" s="449"/>
      <c r="I42" s="450"/>
      <c r="J42" s="84"/>
    </row>
    <row r="43" spans="1:12" x14ac:dyDescent="0.2">
      <c r="A43" s="82"/>
      <c r="B43" s="82"/>
      <c r="C43" s="82"/>
      <c r="D43" s="82"/>
      <c r="E43" s="82"/>
      <c r="F43" s="82"/>
      <c r="G43" s="82"/>
      <c r="H43" s="91"/>
      <c r="I43" s="92"/>
      <c r="J43" s="84"/>
    </row>
    <row r="44" spans="1:12" x14ac:dyDescent="0.2">
      <c r="A44" s="452" t="s">
        <v>180</v>
      </c>
      <c r="B44" s="453"/>
      <c r="C44" s="453"/>
      <c r="D44" s="453"/>
      <c r="E44" s="453"/>
      <c r="F44" s="453"/>
      <c r="G44" s="453"/>
      <c r="H44" s="453"/>
      <c r="I44" s="95">
        <f>I33+I40</f>
        <v>2162.1136349999997</v>
      </c>
      <c r="J44" s="84"/>
      <c r="L44" s="96"/>
    </row>
    <row r="45" spans="1:12" x14ac:dyDescent="0.2">
      <c r="A45" s="445" t="s">
        <v>70</v>
      </c>
      <c r="B45" s="445"/>
      <c r="C45" s="445"/>
      <c r="D45" s="445"/>
      <c r="E45" s="445"/>
      <c r="F45" s="445"/>
      <c r="G45" s="445"/>
      <c r="H45" s="97" t="s">
        <v>55</v>
      </c>
      <c r="I45" s="97" t="s">
        <v>56</v>
      </c>
      <c r="J45" s="84"/>
      <c r="K45" s="98"/>
      <c r="L45" s="96"/>
    </row>
    <row r="46" spans="1:12" x14ac:dyDescent="0.2">
      <c r="A46" s="75" t="s">
        <v>34</v>
      </c>
      <c r="B46" s="361" t="s">
        <v>71</v>
      </c>
      <c r="C46" s="361"/>
      <c r="D46" s="361"/>
      <c r="E46" s="361"/>
      <c r="F46" s="361"/>
      <c r="G46" s="361"/>
      <c r="H46" s="85">
        <v>0.2</v>
      </c>
      <c r="I46" s="8">
        <f>H46*$I$44</f>
        <v>432.42272699999995</v>
      </c>
      <c r="J46" s="99"/>
    </row>
    <row r="47" spans="1:12" x14ac:dyDescent="0.2">
      <c r="A47" s="75" t="s">
        <v>36</v>
      </c>
      <c r="B47" s="361" t="s">
        <v>72</v>
      </c>
      <c r="C47" s="361"/>
      <c r="D47" s="361"/>
      <c r="E47" s="361"/>
      <c r="F47" s="361"/>
      <c r="G47" s="361"/>
      <c r="H47" s="85">
        <v>2.5000000000000001E-2</v>
      </c>
      <c r="I47" s="8">
        <f t="shared" ref="I47:I53" si="1">H47*$I$44</f>
        <v>54.052840874999994</v>
      </c>
      <c r="J47" s="84"/>
    </row>
    <row r="48" spans="1:12" x14ac:dyDescent="0.2">
      <c r="A48" s="75" t="s">
        <v>38</v>
      </c>
      <c r="B48" s="361" t="s">
        <v>73</v>
      </c>
      <c r="C48" s="361"/>
      <c r="D48" s="361"/>
      <c r="E48" s="361"/>
      <c r="F48" s="361"/>
      <c r="G48" s="361"/>
      <c r="H48" s="85">
        <v>0.03</v>
      </c>
      <c r="I48" s="8">
        <f t="shared" si="1"/>
        <v>64.863409049999987</v>
      </c>
      <c r="J48" s="100"/>
    </row>
    <row r="49" spans="1:11" x14ac:dyDescent="0.2">
      <c r="A49" s="75" t="s">
        <v>39</v>
      </c>
      <c r="B49" s="361" t="s">
        <v>74</v>
      </c>
      <c r="C49" s="361"/>
      <c r="D49" s="361"/>
      <c r="E49" s="361"/>
      <c r="F49" s="361"/>
      <c r="G49" s="361"/>
      <c r="H49" s="85">
        <v>1.4999999999999999E-2</v>
      </c>
      <c r="I49" s="8">
        <f t="shared" si="1"/>
        <v>32.431704524999994</v>
      </c>
      <c r="J49" s="84"/>
    </row>
    <row r="50" spans="1:11" x14ac:dyDescent="0.2">
      <c r="A50" s="75" t="s">
        <v>61</v>
      </c>
      <c r="B50" s="361" t="s">
        <v>75</v>
      </c>
      <c r="C50" s="361"/>
      <c r="D50" s="361"/>
      <c r="E50" s="361"/>
      <c r="F50" s="361"/>
      <c r="G50" s="361"/>
      <c r="H50" s="85">
        <v>0.01</v>
      </c>
      <c r="I50" s="8">
        <f t="shared" si="1"/>
        <v>21.621136349999997</v>
      </c>
      <c r="J50" s="84"/>
    </row>
    <row r="51" spans="1:11" x14ac:dyDescent="0.2">
      <c r="A51" s="75" t="s">
        <v>63</v>
      </c>
      <c r="B51" s="361" t="s">
        <v>76</v>
      </c>
      <c r="C51" s="361"/>
      <c r="D51" s="361"/>
      <c r="E51" s="361"/>
      <c r="F51" s="361"/>
      <c r="G51" s="361"/>
      <c r="H51" s="85">
        <v>6.0000000000000001E-3</v>
      </c>
      <c r="I51" s="8">
        <f t="shared" si="1"/>
        <v>12.972681809999999</v>
      </c>
      <c r="J51" s="84"/>
    </row>
    <row r="52" spans="1:11" ht="16.5" customHeight="1" x14ac:dyDescent="0.2">
      <c r="A52" s="75" t="s">
        <v>64</v>
      </c>
      <c r="B52" s="361" t="s">
        <v>77</v>
      </c>
      <c r="C52" s="361"/>
      <c r="D52" s="361"/>
      <c r="E52" s="361"/>
      <c r="F52" s="361"/>
      <c r="G52" s="361"/>
      <c r="H52" s="85">
        <v>2E-3</v>
      </c>
      <c r="I52" s="8">
        <f t="shared" si="1"/>
        <v>4.3242272699999997</v>
      </c>
      <c r="J52" s="84"/>
      <c r="K52" s="101"/>
    </row>
    <row r="53" spans="1:11" x14ac:dyDescent="0.2">
      <c r="A53" s="75" t="s">
        <v>78</v>
      </c>
      <c r="B53" s="361" t="s">
        <v>79</v>
      </c>
      <c r="C53" s="361"/>
      <c r="D53" s="361"/>
      <c r="E53" s="361"/>
      <c r="F53" s="361"/>
      <c r="G53" s="361"/>
      <c r="H53" s="85">
        <v>0.08</v>
      </c>
      <c r="I53" s="8">
        <f t="shared" si="1"/>
        <v>172.96909079999998</v>
      </c>
      <c r="J53" s="84"/>
      <c r="K53" s="101"/>
    </row>
    <row r="54" spans="1:11" x14ac:dyDescent="0.2">
      <c r="A54" s="451" t="s">
        <v>80</v>
      </c>
      <c r="B54" s="451"/>
      <c r="C54" s="451"/>
      <c r="D54" s="451"/>
      <c r="E54" s="451"/>
      <c r="F54" s="451"/>
      <c r="G54" s="451"/>
      <c r="H54" s="102">
        <f>SUM(H46:H53)</f>
        <v>0.36800000000000005</v>
      </c>
      <c r="I54" s="189">
        <f>TRUNC(SUM(I46:I53),2)</f>
        <v>795.65</v>
      </c>
      <c r="J54" s="84"/>
    </row>
    <row r="55" spans="1:11" ht="136.15" customHeight="1" x14ac:dyDescent="0.2">
      <c r="A55" s="464" t="s">
        <v>403</v>
      </c>
      <c r="B55" s="465"/>
      <c r="C55" s="465"/>
      <c r="D55" s="465"/>
      <c r="E55" s="465"/>
      <c r="F55" s="465"/>
      <c r="G55" s="465"/>
      <c r="H55" s="465"/>
      <c r="I55" s="465"/>
      <c r="J55" s="84"/>
    </row>
    <row r="56" spans="1:11" x14ac:dyDescent="0.2">
      <c r="A56" s="447"/>
      <c r="B56" s="447"/>
      <c r="C56" s="447"/>
      <c r="D56" s="447"/>
      <c r="E56" s="447"/>
      <c r="F56" s="447"/>
      <c r="G56" s="447"/>
      <c r="H56" s="447"/>
      <c r="I56" s="448"/>
      <c r="J56" s="84"/>
    </row>
    <row r="57" spans="1:11" x14ac:dyDescent="0.2">
      <c r="A57" s="445" t="s">
        <v>81</v>
      </c>
      <c r="B57" s="445"/>
      <c r="C57" s="445"/>
      <c r="D57" s="445"/>
      <c r="E57" s="445"/>
      <c r="F57" s="445"/>
      <c r="G57" s="445"/>
      <c r="H57" s="103"/>
      <c r="I57" s="97" t="s">
        <v>56</v>
      </c>
      <c r="J57" s="84"/>
    </row>
    <row r="58" spans="1:11" x14ac:dyDescent="0.2">
      <c r="A58" s="75" t="s">
        <v>34</v>
      </c>
      <c r="B58" s="390" t="s">
        <v>417</v>
      </c>
      <c r="C58" s="390"/>
      <c r="D58" s="390"/>
      <c r="E58" s="390"/>
      <c r="F58" s="390"/>
      <c r="G58" s="390"/>
      <c r="H58" s="314" t="s">
        <v>82</v>
      </c>
      <c r="I58" s="190">
        <f>4.5*2*26-I27*0.06</f>
        <v>126.29820000000001</v>
      </c>
      <c r="J58" s="84"/>
    </row>
    <row r="59" spans="1:11" x14ac:dyDescent="0.2">
      <c r="A59" s="75" t="s">
        <v>36</v>
      </c>
      <c r="B59" s="390" t="s">
        <v>418</v>
      </c>
      <c r="C59" s="390"/>
      <c r="D59" s="390"/>
      <c r="E59" s="390"/>
      <c r="F59" s="390"/>
      <c r="G59" s="390"/>
      <c r="H59" s="314" t="s">
        <v>82</v>
      </c>
      <c r="I59" s="104">
        <f>19.5*22-0.25</f>
        <v>428.75</v>
      </c>
      <c r="J59" s="70"/>
    </row>
    <row r="60" spans="1:11" x14ac:dyDescent="0.2">
      <c r="A60" s="75" t="s">
        <v>38</v>
      </c>
      <c r="B60" s="390" t="s">
        <v>83</v>
      </c>
      <c r="C60" s="390"/>
      <c r="D60" s="390"/>
      <c r="E60" s="390"/>
      <c r="F60" s="390"/>
      <c r="G60" s="390"/>
      <c r="H60" s="62" t="s">
        <v>82</v>
      </c>
      <c r="I60" s="104">
        <v>0</v>
      </c>
      <c r="J60" s="84"/>
    </row>
    <row r="61" spans="1:11" x14ac:dyDescent="0.2">
      <c r="A61" s="75" t="s">
        <v>39</v>
      </c>
      <c r="B61" s="390" t="s">
        <v>65</v>
      </c>
      <c r="C61" s="390"/>
      <c r="D61" s="390"/>
      <c r="E61" s="390"/>
      <c r="F61" s="390"/>
      <c r="G61" s="390"/>
      <c r="H61" s="62" t="s">
        <v>82</v>
      </c>
      <c r="I61" s="104">
        <v>0</v>
      </c>
      <c r="J61" s="84"/>
    </row>
    <row r="62" spans="1:11" ht="20.25" customHeight="1" x14ac:dyDescent="0.2">
      <c r="A62" s="379" t="s">
        <v>84</v>
      </c>
      <c r="B62" s="379"/>
      <c r="C62" s="379"/>
      <c r="D62" s="379"/>
      <c r="E62" s="379"/>
      <c r="F62" s="379"/>
      <c r="G62" s="379"/>
      <c r="H62" s="379"/>
      <c r="I62" s="10">
        <f>TRUNC(SUM(I58:I61),2)</f>
        <v>555.04</v>
      </c>
      <c r="J62" s="84"/>
    </row>
    <row r="63" spans="1:11" ht="51.4" customHeight="1" x14ac:dyDescent="0.2">
      <c r="A63" s="442" t="s">
        <v>382</v>
      </c>
      <c r="B63" s="443"/>
      <c r="C63" s="443"/>
      <c r="D63" s="443"/>
      <c r="E63" s="443"/>
      <c r="F63" s="443"/>
      <c r="G63" s="443"/>
      <c r="H63" s="443"/>
      <c r="I63" s="444"/>
      <c r="J63" s="84"/>
    </row>
    <row r="64" spans="1:11" x14ac:dyDescent="0.2">
      <c r="A64" s="106"/>
      <c r="B64" s="106"/>
      <c r="C64" s="106"/>
      <c r="D64" s="106"/>
      <c r="E64" s="106"/>
      <c r="F64" s="106"/>
      <c r="G64" s="106"/>
      <c r="H64" s="106"/>
      <c r="I64" s="106"/>
      <c r="J64" s="84"/>
    </row>
    <row r="65" spans="1:10" x14ac:dyDescent="0.2">
      <c r="A65" s="445" t="s">
        <v>85</v>
      </c>
      <c r="B65" s="445"/>
      <c r="C65" s="445"/>
      <c r="D65" s="445"/>
      <c r="E65" s="445"/>
      <c r="F65" s="445"/>
      <c r="G65" s="445"/>
      <c r="H65" s="445"/>
      <c r="I65" s="445"/>
      <c r="J65" s="84"/>
    </row>
    <row r="66" spans="1:10" x14ac:dyDescent="0.2">
      <c r="A66" s="446" t="s">
        <v>86</v>
      </c>
      <c r="B66" s="446"/>
      <c r="C66" s="446"/>
      <c r="D66" s="446"/>
      <c r="E66" s="446"/>
      <c r="F66" s="446"/>
      <c r="G66" s="446"/>
      <c r="H66" s="446"/>
      <c r="I66" s="75" t="s">
        <v>56</v>
      </c>
      <c r="J66" s="84"/>
    </row>
    <row r="67" spans="1:10" x14ac:dyDescent="0.2">
      <c r="A67" s="107" t="s">
        <v>87</v>
      </c>
      <c r="B67" s="361" t="s">
        <v>88</v>
      </c>
      <c r="C67" s="361"/>
      <c r="D67" s="361"/>
      <c r="E67" s="361"/>
      <c r="F67" s="361"/>
      <c r="G67" s="361"/>
      <c r="H67" s="361"/>
      <c r="I67" s="8">
        <f>I40</f>
        <v>367.08363499999996</v>
      </c>
      <c r="J67" s="84"/>
    </row>
    <row r="68" spans="1:10" x14ac:dyDescent="0.2">
      <c r="A68" s="108" t="s">
        <v>89</v>
      </c>
      <c r="B68" s="361" t="s">
        <v>90</v>
      </c>
      <c r="C68" s="361"/>
      <c r="D68" s="361"/>
      <c r="E68" s="361"/>
      <c r="F68" s="361"/>
      <c r="G68" s="361"/>
      <c r="H68" s="361"/>
      <c r="I68" s="8">
        <f>I54</f>
        <v>795.65</v>
      </c>
      <c r="J68" s="84"/>
    </row>
    <row r="69" spans="1:10" x14ac:dyDescent="0.2">
      <c r="A69" s="108" t="s">
        <v>91</v>
      </c>
      <c r="B69" s="361" t="s">
        <v>92</v>
      </c>
      <c r="C69" s="361"/>
      <c r="D69" s="361"/>
      <c r="E69" s="361"/>
      <c r="F69" s="361"/>
      <c r="G69" s="361"/>
      <c r="H69" s="361"/>
      <c r="I69" s="8">
        <f>I62</f>
        <v>555.04</v>
      </c>
      <c r="J69" s="84"/>
    </row>
    <row r="70" spans="1:10" x14ac:dyDescent="0.2">
      <c r="A70" s="379" t="s">
        <v>93</v>
      </c>
      <c r="B70" s="379"/>
      <c r="C70" s="379"/>
      <c r="D70" s="379"/>
      <c r="E70" s="379"/>
      <c r="F70" s="379"/>
      <c r="G70" s="379"/>
      <c r="H70" s="379"/>
      <c r="I70" s="10">
        <f>TRUNC(SUM(I67:I69),2)</f>
        <v>1717.77</v>
      </c>
      <c r="J70" s="84"/>
    </row>
    <row r="71" spans="1:10" x14ac:dyDescent="0.2">
      <c r="A71" s="405"/>
      <c r="B71" s="406"/>
      <c r="C71" s="406"/>
      <c r="D71" s="406"/>
      <c r="E71" s="406"/>
      <c r="F71" s="406"/>
      <c r="G71" s="406"/>
      <c r="H71" s="406"/>
      <c r="I71" s="406"/>
      <c r="J71" s="84"/>
    </row>
    <row r="72" spans="1:10" ht="17.25" customHeight="1" x14ac:dyDescent="0.2">
      <c r="A72" s="437" t="s">
        <v>94</v>
      </c>
      <c r="B72" s="438"/>
      <c r="C72" s="438"/>
      <c r="D72" s="438"/>
      <c r="E72" s="438"/>
      <c r="F72" s="438"/>
      <c r="G72" s="438"/>
      <c r="H72" s="438"/>
      <c r="I72" s="110"/>
      <c r="J72" s="84"/>
    </row>
    <row r="73" spans="1:10" ht="16.5" customHeight="1" x14ac:dyDescent="0.2">
      <c r="A73" s="439" t="s">
        <v>181</v>
      </c>
      <c r="B73" s="440"/>
      <c r="C73" s="440"/>
      <c r="D73" s="440"/>
      <c r="E73" s="440"/>
      <c r="F73" s="440"/>
      <c r="G73" s="440"/>
      <c r="H73" s="441"/>
      <c r="I73" s="111">
        <f>I33+I40</f>
        <v>2162.1136349999997</v>
      </c>
      <c r="J73" s="84"/>
    </row>
    <row r="74" spans="1:10" x14ac:dyDescent="0.2">
      <c r="A74" s="112">
        <v>3</v>
      </c>
      <c r="B74" s="436" t="s">
        <v>95</v>
      </c>
      <c r="C74" s="436"/>
      <c r="D74" s="436"/>
      <c r="E74" s="436"/>
      <c r="F74" s="436"/>
      <c r="G74" s="436"/>
      <c r="H74" s="112" t="s">
        <v>55</v>
      </c>
      <c r="I74" s="112" t="s">
        <v>56</v>
      </c>
      <c r="J74" s="84"/>
    </row>
    <row r="75" spans="1:10" ht="68.650000000000006" customHeight="1" x14ac:dyDescent="0.2">
      <c r="A75" s="112" t="s">
        <v>34</v>
      </c>
      <c r="B75" s="433" t="s">
        <v>387</v>
      </c>
      <c r="C75" s="434"/>
      <c r="D75" s="434"/>
      <c r="E75" s="434"/>
      <c r="F75" s="434"/>
      <c r="G75" s="435"/>
      <c r="H75" s="114">
        <f>(1/12)*5%</f>
        <v>4.1666666666666666E-3</v>
      </c>
      <c r="I75" s="191">
        <f>$I$73*H75</f>
        <v>9.0088068124999978</v>
      </c>
      <c r="J75" s="84"/>
    </row>
    <row r="76" spans="1:10" x14ac:dyDescent="0.2">
      <c r="A76" s="112" t="s">
        <v>36</v>
      </c>
      <c r="B76" s="432" t="s">
        <v>96</v>
      </c>
      <c r="C76" s="432"/>
      <c r="D76" s="432"/>
      <c r="E76" s="432"/>
      <c r="F76" s="432"/>
      <c r="G76" s="432"/>
      <c r="H76" s="114">
        <f>8%*H75</f>
        <v>3.3333333333333332E-4</v>
      </c>
      <c r="I76" s="191">
        <f t="shared" ref="I76:I79" si="2">$I$73*H76</f>
        <v>0.72070454499999992</v>
      </c>
      <c r="J76" s="93"/>
    </row>
    <row r="77" spans="1:10" ht="27.75" customHeight="1" x14ac:dyDescent="0.2">
      <c r="A77" s="112" t="s">
        <v>38</v>
      </c>
      <c r="B77" s="433" t="s">
        <v>388</v>
      </c>
      <c r="C77" s="434"/>
      <c r="D77" s="434"/>
      <c r="E77" s="434"/>
      <c r="F77" s="434"/>
      <c r="G77" s="435"/>
      <c r="H77" s="114">
        <f>((8%*40%*5%*(1+1/12+1/12+(1/3/12))))</f>
        <v>1.9111111111111108E-3</v>
      </c>
      <c r="I77" s="191">
        <f t="shared" si="2"/>
        <v>4.1320393913333318</v>
      </c>
      <c r="J77" s="84"/>
    </row>
    <row r="78" spans="1:10" ht="25.5" customHeight="1" x14ac:dyDescent="0.2">
      <c r="A78" s="112" t="s">
        <v>39</v>
      </c>
      <c r="B78" s="433" t="s">
        <v>389</v>
      </c>
      <c r="C78" s="434"/>
      <c r="D78" s="434"/>
      <c r="E78" s="434"/>
      <c r="F78" s="434"/>
      <c r="G78" s="435"/>
      <c r="H78" s="114">
        <f>((1/30)*7)/12</f>
        <v>1.9444444444444445E-2</v>
      </c>
      <c r="I78" s="191">
        <f>$I$73*H78</f>
        <v>42.04109845833333</v>
      </c>
      <c r="J78" s="84"/>
    </row>
    <row r="79" spans="1:10" ht="12.75" customHeight="1" x14ac:dyDescent="0.2">
      <c r="A79" s="112" t="s">
        <v>61</v>
      </c>
      <c r="B79" s="432" t="s">
        <v>204</v>
      </c>
      <c r="C79" s="432"/>
      <c r="D79" s="432"/>
      <c r="E79" s="432"/>
      <c r="F79" s="432"/>
      <c r="G79" s="432"/>
      <c r="H79" s="114">
        <f>H54*H78</f>
        <v>7.1555555555555565E-3</v>
      </c>
      <c r="I79" s="191">
        <f t="shared" si="2"/>
        <v>15.471124232666666</v>
      </c>
      <c r="J79" s="84"/>
    </row>
    <row r="80" spans="1:10" ht="27" customHeight="1" x14ac:dyDescent="0.2">
      <c r="A80" s="112" t="s">
        <v>63</v>
      </c>
      <c r="B80" s="433" t="s">
        <v>390</v>
      </c>
      <c r="C80" s="434"/>
      <c r="D80" s="434"/>
      <c r="E80" s="434"/>
      <c r="F80" s="434"/>
      <c r="G80" s="435"/>
      <c r="H80" s="114">
        <f>((8%*40%*100%*(1+1/12+1/12+(1/3/12))))</f>
        <v>3.8222222222222213E-2</v>
      </c>
      <c r="I80" s="191">
        <f>$I$73*H80</f>
        <v>82.640787826666639</v>
      </c>
      <c r="J80" s="84"/>
    </row>
    <row r="81" spans="1:12" x14ac:dyDescent="0.2">
      <c r="A81" s="436" t="s">
        <v>97</v>
      </c>
      <c r="B81" s="436"/>
      <c r="C81" s="436"/>
      <c r="D81" s="436"/>
      <c r="E81" s="436"/>
      <c r="F81" s="436"/>
      <c r="G81" s="436"/>
      <c r="H81" s="115">
        <f>TRUNC(SUM(H75:H80),4)</f>
        <v>7.1199999999999999E-2</v>
      </c>
      <c r="I81" s="9">
        <f>TRUNC(SUM(I75:I80),2)</f>
        <v>154.01</v>
      </c>
      <c r="J81" s="84"/>
    </row>
    <row r="82" spans="1:12" ht="81" customHeight="1" x14ac:dyDescent="0.2">
      <c r="A82" s="503" t="s">
        <v>411</v>
      </c>
      <c r="B82" s="504"/>
      <c r="C82" s="504"/>
      <c r="D82" s="504"/>
      <c r="E82" s="504"/>
      <c r="F82" s="504"/>
      <c r="G82" s="504"/>
      <c r="H82" s="504"/>
      <c r="I82" s="505"/>
      <c r="J82" s="84"/>
    </row>
    <row r="83" spans="1:12" ht="12.75" customHeight="1" x14ac:dyDescent="0.2">
      <c r="A83" s="499"/>
      <c r="B83" s="500"/>
      <c r="C83" s="500"/>
      <c r="D83" s="500"/>
      <c r="E83" s="500"/>
      <c r="F83" s="500"/>
      <c r="G83" s="500"/>
      <c r="H83" s="500"/>
      <c r="I83" s="501"/>
      <c r="J83" s="84"/>
    </row>
    <row r="84" spans="1:12" ht="15" customHeight="1" x14ac:dyDescent="0.2">
      <c r="A84" s="116"/>
      <c r="B84" s="117"/>
      <c r="C84" s="117"/>
      <c r="D84" s="117"/>
      <c r="E84" s="117"/>
      <c r="F84" s="117"/>
      <c r="G84" s="117"/>
      <c r="H84" s="118"/>
      <c r="I84" s="119"/>
      <c r="J84" s="84"/>
    </row>
    <row r="85" spans="1:12" x14ac:dyDescent="0.2">
      <c r="A85" s="407" t="s">
        <v>98</v>
      </c>
      <c r="B85" s="407"/>
      <c r="C85" s="407"/>
      <c r="D85" s="407"/>
      <c r="E85" s="407"/>
      <c r="F85" s="407"/>
      <c r="G85" s="407"/>
      <c r="H85" s="407"/>
      <c r="I85" s="407"/>
      <c r="J85" s="99"/>
    </row>
    <row r="86" spans="1:12" ht="12" customHeight="1" x14ac:dyDescent="0.2">
      <c r="A86" s="426" t="s">
        <v>182</v>
      </c>
      <c r="B86" s="427"/>
      <c r="C86" s="427"/>
      <c r="D86" s="427"/>
      <c r="E86" s="427"/>
      <c r="F86" s="427"/>
      <c r="G86" s="427"/>
      <c r="H86" s="428"/>
      <c r="I86" s="120">
        <f>I33+I70+I81</f>
        <v>3666.8100000000004</v>
      </c>
      <c r="J86" s="84"/>
    </row>
    <row r="87" spans="1:12" ht="13.15" customHeight="1" x14ac:dyDescent="0.2">
      <c r="A87" s="379" t="s">
        <v>183</v>
      </c>
      <c r="B87" s="379"/>
      <c r="C87" s="379"/>
      <c r="D87" s="379"/>
      <c r="E87" s="379"/>
      <c r="F87" s="379"/>
      <c r="G87" s="379"/>
      <c r="H87" s="75" t="s">
        <v>55</v>
      </c>
      <c r="I87" s="75" t="s">
        <v>56</v>
      </c>
      <c r="J87" s="84"/>
    </row>
    <row r="88" spans="1:12" ht="27" customHeight="1" x14ac:dyDescent="0.2">
      <c r="A88" s="113" t="s">
        <v>34</v>
      </c>
      <c r="B88" s="414" t="s">
        <v>391</v>
      </c>
      <c r="C88" s="415"/>
      <c r="D88" s="415"/>
      <c r="E88" s="415"/>
      <c r="F88" s="415"/>
      <c r="G88" s="416"/>
      <c r="H88" s="121">
        <f>((1/11+1/12+((1/3)/11))/12)</f>
        <v>1.7045454545454548E-2</v>
      </c>
      <c r="I88" s="191">
        <f>H88*I27</f>
        <v>30.597102272727277</v>
      </c>
      <c r="J88" s="123"/>
    </row>
    <row r="89" spans="1:12" ht="12.75" customHeight="1" x14ac:dyDescent="0.2">
      <c r="A89" s="113" t="s">
        <v>36</v>
      </c>
      <c r="B89" s="423" t="s">
        <v>399</v>
      </c>
      <c r="C89" s="424"/>
      <c r="D89" s="424"/>
      <c r="E89" s="424"/>
      <c r="F89" s="424"/>
      <c r="G89" s="425"/>
      <c r="H89" s="114">
        <f>((1/30)*1/12)</f>
        <v>2.7777777777777779E-3</v>
      </c>
      <c r="I89" s="191">
        <f t="shared" ref="I89:I93" si="3">H89*$I$86</f>
        <v>10.185583333333335</v>
      </c>
      <c r="J89" s="84"/>
    </row>
    <row r="90" spans="1:12" ht="13.15" customHeight="1" x14ac:dyDescent="0.2">
      <c r="A90" s="113" t="s">
        <v>38</v>
      </c>
      <c r="B90" s="417" t="s">
        <v>398</v>
      </c>
      <c r="C90" s="417"/>
      <c r="D90" s="417"/>
      <c r="E90" s="417"/>
      <c r="F90" s="417"/>
      <c r="G90" s="417"/>
      <c r="H90" s="114">
        <f>((5/30)*1/12)*6.24%*50%</f>
        <v>4.3333333333333331E-4</v>
      </c>
      <c r="I90" s="191">
        <f t="shared" si="3"/>
        <v>1.588951</v>
      </c>
      <c r="J90" s="84"/>
    </row>
    <row r="91" spans="1:12" ht="13.15" customHeight="1" x14ac:dyDescent="0.2">
      <c r="A91" s="113" t="s">
        <v>39</v>
      </c>
      <c r="B91" s="414" t="s">
        <v>400</v>
      </c>
      <c r="C91" s="415"/>
      <c r="D91" s="415"/>
      <c r="E91" s="415"/>
      <c r="F91" s="415"/>
      <c r="G91" s="416"/>
      <c r="H91" s="114">
        <f>((0.98/30)*(1/12))</f>
        <v>2.7222222222222218E-3</v>
      </c>
      <c r="I91" s="191">
        <f t="shared" si="3"/>
        <v>9.9818716666666667</v>
      </c>
      <c r="J91" s="87"/>
    </row>
    <row r="92" spans="1:12" ht="25.9" customHeight="1" x14ac:dyDescent="0.2">
      <c r="A92" s="113" t="s">
        <v>61</v>
      </c>
      <c r="B92" s="414" t="s">
        <v>392</v>
      </c>
      <c r="C92" s="415"/>
      <c r="D92" s="415"/>
      <c r="E92" s="415"/>
      <c r="F92" s="415"/>
      <c r="G92" s="416"/>
      <c r="H92" s="114">
        <f>((1/12)*(4/12))*2%</f>
        <v>5.5555555555555556E-4</v>
      </c>
      <c r="I92" s="191">
        <f>H92*I33</f>
        <v>0.9972388888888889</v>
      </c>
      <c r="J92" s="87"/>
    </row>
    <row r="93" spans="1:12" x14ac:dyDescent="0.2">
      <c r="A93" s="113" t="s">
        <v>63</v>
      </c>
      <c r="B93" s="417" t="s">
        <v>401</v>
      </c>
      <c r="C93" s="417"/>
      <c r="D93" s="417"/>
      <c r="E93" s="417"/>
      <c r="F93" s="417"/>
      <c r="G93" s="417"/>
      <c r="H93" s="114">
        <f>((5.96/30)*(1/12))</f>
        <v>1.6555555555555553E-2</v>
      </c>
      <c r="I93" s="191">
        <f t="shared" si="3"/>
        <v>60.706076666666661</v>
      </c>
      <c r="J93" s="84"/>
      <c r="L93" s="124"/>
    </row>
    <row r="94" spans="1:12" ht="12.75" customHeight="1" x14ac:dyDescent="0.2">
      <c r="A94" s="379" t="s">
        <v>99</v>
      </c>
      <c r="B94" s="379"/>
      <c r="C94" s="379"/>
      <c r="D94" s="379"/>
      <c r="E94" s="379"/>
      <c r="F94" s="379"/>
      <c r="G94" s="379"/>
      <c r="H94" s="125">
        <f>SUM(H88:H93)</f>
        <v>4.0089898989898995E-2</v>
      </c>
      <c r="I94" s="9">
        <f>SUM(I88:I93)</f>
        <v>114.05682382828283</v>
      </c>
      <c r="J94" s="84"/>
      <c r="L94" s="7"/>
    </row>
    <row r="95" spans="1:12" ht="72" customHeight="1" x14ac:dyDescent="0.2">
      <c r="A95" s="506" t="s">
        <v>404</v>
      </c>
      <c r="B95" s="507"/>
      <c r="C95" s="507"/>
      <c r="D95" s="507"/>
      <c r="E95" s="507"/>
      <c r="F95" s="507"/>
      <c r="G95" s="507"/>
      <c r="H95" s="507"/>
      <c r="I95" s="508"/>
      <c r="J95" s="84"/>
    </row>
    <row r="96" spans="1:12" ht="12.75" customHeight="1" x14ac:dyDescent="0.2">
      <c r="A96" s="418"/>
      <c r="B96" s="419"/>
      <c r="C96" s="419"/>
      <c r="D96" s="419"/>
      <c r="E96" s="419"/>
      <c r="F96" s="419"/>
      <c r="G96" s="419"/>
      <c r="H96" s="419"/>
      <c r="I96" s="419"/>
      <c r="J96" s="84"/>
    </row>
    <row r="97" spans="1:10" x14ac:dyDescent="0.2">
      <c r="A97" s="420" t="s">
        <v>184</v>
      </c>
      <c r="B97" s="421"/>
      <c r="C97" s="421"/>
      <c r="D97" s="421"/>
      <c r="E97" s="421"/>
      <c r="F97" s="421"/>
      <c r="G97" s="422"/>
      <c r="H97" s="126" t="s">
        <v>55</v>
      </c>
      <c r="I97" s="126" t="s">
        <v>56</v>
      </c>
      <c r="J97" s="84"/>
    </row>
    <row r="98" spans="1:10" x14ac:dyDescent="0.2">
      <c r="A98" s="75" t="s">
        <v>34</v>
      </c>
      <c r="B98" s="509" t="s">
        <v>383</v>
      </c>
      <c r="C98" s="510"/>
      <c r="D98" s="510"/>
      <c r="E98" s="510"/>
      <c r="F98" s="510"/>
      <c r="G98" s="511"/>
      <c r="H98" s="121">
        <v>0</v>
      </c>
      <c r="I98" s="122">
        <f>$I$33*H98</f>
        <v>0</v>
      </c>
      <c r="J98" s="84"/>
    </row>
    <row r="99" spans="1:10" x14ac:dyDescent="0.2">
      <c r="A99" s="379" t="s">
        <v>100</v>
      </c>
      <c r="B99" s="379"/>
      <c r="C99" s="379"/>
      <c r="D99" s="379"/>
      <c r="E99" s="379"/>
      <c r="F99" s="379"/>
      <c r="G99" s="379"/>
      <c r="H99" s="89">
        <f>TRUNC(SUM(H98),4)</f>
        <v>0</v>
      </c>
      <c r="I99" s="90">
        <f>TRUNC(SUM(I98),2)</f>
        <v>0</v>
      </c>
      <c r="J99" s="84"/>
    </row>
    <row r="100" spans="1:10" x14ac:dyDescent="0.2">
      <c r="A100" s="411"/>
      <c r="B100" s="412"/>
      <c r="C100" s="412"/>
      <c r="D100" s="412"/>
      <c r="E100" s="412"/>
      <c r="F100" s="412"/>
      <c r="G100" s="412"/>
      <c r="H100" s="412"/>
      <c r="I100" s="412"/>
      <c r="J100" s="84"/>
    </row>
    <row r="101" spans="1:10" x14ac:dyDescent="0.2">
      <c r="A101" s="413" t="s">
        <v>101</v>
      </c>
      <c r="B101" s="413"/>
      <c r="C101" s="413"/>
      <c r="D101" s="413"/>
      <c r="E101" s="413"/>
      <c r="F101" s="413"/>
      <c r="G101" s="413"/>
      <c r="H101" s="413"/>
      <c r="I101" s="413"/>
      <c r="J101" s="84"/>
    </row>
    <row r="102" spans="1:10" x14ac:dyDescent="0.2">
      <c r="A102" s="379" t="s">
        <v>102</v>
      </c>
      <c r="B102" s="379"/>
      <c r="C102" s="379"/>
      <c r="D102" s="379"/>
      <c r="E102" s="379"/>
      <c r="F102" s="379"/>
      <c r="G102" s="379"/>
      <c r="H102" s="379"/>
      <c r="I102" s="75" t="s">
        <v>56</v>
      </c>
      <c r="J102" s="84"/>
    </row>
    <row r="103" spans="1:10" x14ac:dyDescent="0.2">
      <c r="A103" s="75" t="s">
        <v>103</v>
      </c>
      <c r="B103" s="380" t="s">
        <v>185</v>
      </c>
      <c r="C103" s="380"/>
      <c r="D103" s="380"/>
      <c r="E103" s="380"/>
      <c r="F103" s="380"/>
      <c r="G103" s="380"/>
      <c r="H103" s="380"/>
      <c r="I103" s="8">
        <f>I94</f>
        <v>114.05682382828283</v>
      </c>
      <c r="J103" s="84"/>
    </row>
    <row r="104" spans="1:10" x14ac:dyDescent="0.2">
      <c r="A104" s="79" t="s">
        <v>104</v>
      </c>
      <c r="B104" s="380" t="s">
        <v>186</v>
      </c>
      <c r="C104" s="380"/>
      <c r="D104" s="380"/>
      <c r="E104" s="380"/>
      <c r="F104" s="380"/>
      <c r="G104" s="380"/>
      <c r="H104" s="380"/>
      <c r="I104" s="109">
        <f>I99</f>
        <v>0</v>
      </c>
      <c r="J104" s="84"/>
    </row>
    <row r="105" spans="1:10" x14ac:dyDescent="0.2">
      <c r="A105" s="379" t="s">
        <v>105</v>
      </c>
      <c r="B105" s="379"/>
      <c r="C105" s="379"/>
      <c r="D105" s="379"/>
      <c r="E105" s="379"/>
      <c r="F105" s="379"/>
      <c r="G105" s="379"/>
      <c r="H105" s="379"/>
      <c r="I105" s="10">
        <f>I94+I99</f>
        <v>114.05682382828283</v>
      </c>
      <c r="J105" s="84"/>
    </row>
    <row r="106" spans="1:10" x14ac:dyDescent="0.2">
      <c r="A106" s="405"/>
      <c r="B106" s="406"/>
      <c r="C106" s="406"/>
      <c r="D106" s="406"/>
      <c r="E106" s="406"/>
      <c r="F106" s="406"/>
      <c r="G106" s="406"/>
      <c r="H106" s="406"/>
      <c r="I106" s="406"/>
      <c r="J106" s="84"/>
    </row>
    <row r="107" spans="1:10" x14ac:dyDescent="0.2">
      <c r="A107" s="407" t="s">
        <v>106</v>
      </c>
      <c r="B107" s="407"/>
      <c r="C107" s="407"/>
      <c r="D107" s="407"/>
      <c r="E107" s="407"/>
      <c r="F107" s="407"/>
      <c r="G107" s="407"/>
      <c r="H107" s="407"/>
      <c r="I107" s="407"/>
      <c r="J107" s="84"/>
    </row>
    <row r="108" spans="1:10" x14ac:dyDescent="0.2">
      <c r="A108" s="75">
        <v>5</v>
      </c>
      <c r="B108" s="379" t="s">
        <v>107</v>
      </c>
      <c r="C108" s="379"/>
      <c r="D108" s="379"/>
      <c r="E108" s="379"/>
      <c r="F108" s="379"/>
      <c r="G108" s="379"/>
      <c r="H108" s="75"/>
      <c r="I108" s="75" t="s">
        <v>56</v>
      </c>
      <c r="J108" s="84"/>
    </row>
    <row r="109" spans="1:10" x14ac:dyDescent="0.2">
      <c r="A109" s="75" t="s">
        <v>34</v>
      </c>
      <c r="B109" s="390" t="s">
        <v>384</v>
      </c>
      <c r="C109" s="390"/>
      <c r="D109" s="390"/>
      <c r="E109" s="390"/>
      <c r="F109" s="390"/>
      <c r="G109" s="390"/>
      <c r="H109" s="62" t="s">
        <v>82</v>
      </c>
      <c r="I109" s="194">
        <f>'Materiais e Uniformes'!G135</f>
        <v>68.092500000000001</v>
      </c>
      <c r="J109" s="84"/>
    </row>
    <row r="110" spans="1:10" x14ac:dyDescent="0.2">
      <c r="A110" s="76" t="s">
        <v>36</v>
      </c>
      <c r="B110" s="390" t="s">
        <v>393</v>
      </c>
      <c r="C110" s="390"/>
      <c r="D110" s="390"/>
      <c r="E110" s="390"/>
      <c r="F110" s="390"/>
      <c r="G110" s="390"/>
      <c r="H110" s="67" t="s">
        <v>82</v>
      </c>
      <c r="I110" s="8"/>
      <c r="J110" s="84"/>
    </row>
    <row r="111" spans="1:10" x14ac:dyDescent="0.2">
      <c r="A111" s="76" t="s">
        <v>38</v>
      </c>
      <c r="B111" s="352" t="s">
        <v>408</v>
      </c>
      <c r="C111" s="353"/>
      <c r="D111" s="353"/>
      <c r="E111" s="353"/>
      <c r="F111" s="353"/>
      <c r="G111" s="354"/>
      <c r="H111" s="67"/>
      <c r="I111" s="8"/>
      <c r="J111" s="84"/>
    </row>
    <row r="112" spans="1:10" x14ac:dyDescent="0.2">
      <c r="A112" s="127" t="s">
        <v>39</v>
      </c>
      <c r="B112" s="390" t="s">
        <v>409</v>
      </c>
      <c r="C112" s="390"/>
      <c r="D112" s="390"/>
      <c r="E112" s="390"/>
      <c r="F112" s="390"/>
      <c r="G112" s="390"/>
      <c r="H112" s="67" t="s">
        <v>82</v>
      </c>
      <c r="I112" s="8"/>
      <c r="J112" s="84"/>
    </row>
    <row r="113" spans="1:12" x14ac:dyDescent="0.2">
      <c r="A113" s="379" t="s">
        <v>108</v>
      </c>
      <c r="B113" s="379"/>
      <c r="C113" s="379"/>
      <c r="D113" s="379"/>
      <c r="E113" s="379"/>
      <c r="F113" s="379"/>
      <c r="G113" s="379"/>
      <c r="H113" s="89" t="s">
        <v>82</v>
      </c>
      <c r="I113" s="77">
        <f>TRUNC(SUM(I109:I112),2)</f>
        <v>68.09</v>
      </c>
      <c r="J113" s="84"/>
    </row>
    <row r="114" spans="1:12" x14ac:dyDescent="0.2">
      <c r="A114" s="128"/>
      <c r="B114" s="129"/>
      <c r="C114" s="129"/>
      <c r="D114" s="129"/>
      <c r="E114" s="129"/>
      <c r="F114" s="129"/>
      <c r="G114" s="129"/>
      <c r="H114" s="130"/>
      <c r="I114" s="131"/>
      <c r="J114" s="84"/>
    </row>
    <row r="115" spans="1:12" x14ac:dyDescent="0.2">
      <c r="A115" s="402" t="s">
        <v>187</v>
      </c>
      <c r="B115" s="403"/>
      <c r="C115" s="403"/>
      <c r="D115" s="403"/>
      <c r="E115" s="403"/>
      <c r="F115" s="403"/>
      <c r="G115" s="403"/>
      <c r="H115" s="404"/>
      <c r="I115" s="132"/>
      <c r="J115" s="84"/>
    </row>
    <row r="116" spans="1:12" x14ac:dyDescent="0.2">
      <c r="A116" s="478" t="s">
        <v>29</v>
      </c>
      <c r="B116" s="478"/>
      <c r="C116" s="478"/>
      <c r="D116" s="478"/>
      <c r="E116" s="478"/>
      <c r="F116" s="478"/>
      <c r="G116" s="478"/>
      <c r="H116" s="478"/>
      <c r="I116" s="133">
        <f>I33+I70+I81+I105+I113</f>
        <v>3848.9568238282832</v>
      </c>
      <c r="J116" s="84"/>
    </row>
    <row r="117" spans="1:12" x14ac:dyDescent="0.2">
      <c r="A117" s="128"/>
      <c r="B117" s="129"/>
      <c r="C117" s="129"/>
      <c r="D117" s="129"/>
      <c r="E117" s="129"/>
      <c r="F117" s="129"/>
      <c r="G117" s="129"/>
      <c r="H117" s="130"/>
      <c r="I117" s="131"/>
      <c r="J117" s="84"/>
    </row>
    <row r="118" spans="1:12" x14ac:dyDescent="0.2">
      <c r="A118" s="391" t="s">
        <v>109</v>
      </c>
      <c r="B118" s="392"/>
      <c r="C118" s="392"/>
      <c r="D118" s="392"/>
      <c r="E118" s="392"/>
      <c r="F118" s="392"/>
      <c r="G118" s="392"/>
      <c r="H118" s="392"/>
      <c r="I118" s="393"/>
      <c r="J118" s="84"/>
    </row>
    <row r="119" spans="1:12" x14ac:dyDescent="0.2">
      <c r="A119" s="75">
        <v>6</v>
      </c>
      <c r="B119" s="379" t="s">
        <v>110</v>
      </c>
      <c r="C119" s="379"/>
      <c r="D119" s="379"/>
      <c r="E119" s="379"/>
      <c r="F119" s="379"/>
      <c r="G119" s="379"/>
      <c r="H119" s="75" t="s">
        <v>55</v>
      </c>
      <c r="I119" s="75" t="s">
        <v>56</v>
      </c>
      <c r="J119" s="84"/>
    </row>
    <row r="120" spans="1:12" x14ac:dyDescent="0.2">
      <c r="A120" s="75" t="s">
        <v>34</v>
      </c>
      <c r="B120" s="361" t="s">
        <v>111</v>
      </c>
      <c r="C120" s="361"/>
      <c r="D120" s="361"/>
      <c r="E120" s="361"/>
      <c r="F120" s="361"/>
      <c r="G120" s="361"/>
      <c r="H120" s="134">
        <v>6.7500000000000004E-2</v>
      </c>
      <c r="I120" s="190">
        <f>H120*I116</f>
        <v>259.80458560840913</v>
      </c>
      <c r="J120" s="84"/>
    </row>
    <row r="121" spans="1:12" x14ac:dyDescent="0.2">
      <c r="A121" s="79" t="s">
        <v>36</v>
      </c>
      <c r="B121" s="361" t="s">
        <v>112</v>
      </c>
      <c r="C121" s="361"/>
      <c r="D121" s="361"/>
      <c r="E121" s="361"/>
      <c r="F121" s="361"/>
      <c r="G121" s="361"/>
      <c r="H121" s="134">
        <v>7.6499999999999999E-2</v>
      </c>
      <c r="I121" s="190">
        <f>(I116+I120)*H121</f>
        <v>314.320247821907</v>
      </c>
      <c r="J121" s="99"/>
      <c r="L121" s="7"/>
    </row>
    <row r="122" spans="1:12" x14ac:dyDescent="0.2">
      <c r="A122" s="479" t="s">
        <v>38</v>
      </c>
      <c r="B122" s="492" t="s">
        <v>188</v>
      </c>
      <c r="C122" s="493"/>
      <c r="D122" s="493"/>
      <c r="E122" s="493"/>
      <c r="F122" s="493"/>
      <c r="G122" s="494"/>
      <c r="H122" s="481">
        <f>E124+E125+E130+E126+E128+E131</f>
        <v>0.14250000000000002</v>
      </c>
      <c r="I122" s="489">
        <f>H122*I133</f>
        <v>735.03106257650199</v>
      </c>
      <c r="J122" s="99"/>
    </row>
    <row r="123" spans="1:12" x14ac:dyDescent="0.2">
      <c r="A123" s="479"/>
      <c r="B123" s="495" t="s">
        <v>189</v>
      </c>
      <c r="C123" s="496"/>
      <c r="D123" s="496"/>
      <c r="E123" s="496"/>
      <c r="F123" s="496"/>
      <c r="G123" s="497"/>
      <c r="H123" s="481"/>
      <c r="I123" s="490"/>
      <c r="J123" s="99"/>
    </row>
    <row r="124" spans="1:12" x14ac:dyDescent="0.2">
      <c r="A124" s="479"/>
      <c r="B124" s="483" t="s">
        <v>190</v>
      </c>
      <c r="C124" s="483"/>
      <c r="D124" s="483"/>
      <c r="E124" s="135">
        <v>1.6500000000000001E-2</v>
      </c>
      <c r="F124" s="136"/>
      <c r="G124" s="137"/>
      <c r="H124" s="482"/>
      <c r="I124" s="490"/>
      <c r="J124" s="84"/>
    </row>
    <row r="125" spans="1:12" x14ac:dyDescent="0.2">
      <c r="A125" s="479"/>
      <c r="B125" s="484" t="s">
        <v>191</v>
      </c>
      <c r="C125" s="484"/>
      <c r="D125" s="484"/>
      <c r="E125" s="138">
        <v>7.5999999999999998E-2</v>
      </c>
      <c r="F125" s="139"/>
      <c r="G125" s="137"/>
      <c r="H125" s="482"/>
      <c r="I125" s="490"/>
    </row>
    <row r="126" spans="1:12" x14ac:dyDescent="0.2">
      <c r="A126" s="479"/>
      <c r="B126" s="484" t="s">
        <v>192</v>
      </c>
      <c r="C126" s="484"/>
      <c r="D126" s="484"/>
      <c r="E126" s="140"/>
      <c r="F126" s="139"/>
      <c r="G126" s="137"/>
      <c r="H126" s="482"/>
      <c r="I126" s="490"/>
    </row>
    <row r="127" spans="1:12" x14ac:dyDescent="0.2">
      <c r="A127" s="480"/>
      <c r="B127" s="397" t="s">
        <v>193</v>
      </c>
      <c r="C127" s="398"/>
      <c r="D127" s="398"/>
      <c r="E127" s="398"/>
      <c r="F127" s="398"/>
      <c r="G127" s="399"/>
      <c r="H127" s="482"/>
      <c r="I127" s="490"/>
      <c r="J127" s="141"/>
    </row>
    <row r="128" spans="1:12" x14ac:dyDescent="0.2">
      <c r="A128" s="480"/>
      <c r="B128" s="485" t="s">
        <v>194</v>
      </c>
      <c r="C128" s="486"/>
      <c r="D128" s="486"/>
      <c r="E128" s="142"/>
      <c r="F128" s="143"/>
      <c r="G128" s="144"/>
      <c r="H128" s="482"/>
      <c r="I128" s="490"/>
    </row>
    <row r="129" spans="1:11" x14ac:dyDescent="0.2">
      <c r="A129" s="479"/>
      <c r="B129" s="400" t="s">
        <v>195</v>
      </c>
      <c r="C129" s="398"/>
      <c r="D129" s="398"/>
      <c r="E129" s="398"/>
      <c r="F129" s="398"/>
      <c r="G129" s="401"/>
      <c r="H129" s="481"/>
      <c r="I129" s="490"/>
    </row>
    <row r="130" spans="1:11" x14ac:dyDescent="0.2">
      <c r="A130" s="479"/>
      <c r="B130" s="487" t="s">
        <v>196</v>
      </c>
      <c r="C130" s="487"/>
      <c r="D130" s="487"/>
      <c r="E130" s="145">
        <v>0.05</v>
      </c>
      <c r="F130" s="139"/>
      <c r="G130" s="137"/>
      <c r="H130" s="482"/>
      <c r="I130" s="490"/>
    </row>
    <row r="131" spans="1:11" x14ac:dyDescent="0.2">
      <c r="A131" s="479"/>
      <c r="B131" s="488" t="s">
        <v>192</v>
      </c>
      <c r="C131" s="488"/>
      <c r="D131" s="488"/>
      <c r="E131" s="146"/>
      <c r="F131" s="147"/>
      <c r="G131" s="144"/>
      <c r="H131" s="482"/>
      <c r="I131" s="491"/>
      <c r="K131" s="141"/>
    </row>
    <row r="132" spans="1:11" x14ac:dyDescent="0.2">
      <c r="A132" s="379" t="s">
        <v>113</v>
      </c>
      <c r="B132" s="379"/>
      <c r="C132" s="379"/>
      <c r="D132" s="379"/>
      <c r="E132" s="379"/>
      <c r="F132" s="379"/>
      <c r="G132" s="379"/>
      <c r="H132" s="148">
        <f>SUM(H120:H131)</f>
        <v>0.28650000000000003</v>
      </c>
      <c r="I132" s="192">
        <f>SUM(I120:I131)</f>
        <v>1309.1558960068182</v>
      </c>
      <c r="K132" s="141"/>
    </row>
    <row r="133" spans="1:11" x14ac:dyDescent="0.2">
      <c r="A133" s="149"/>
      <c r="B133" s="150"/>
      <c r="C133" s="150"/>
      <c r="D133" s="150"/>
      <c r="E133" s="151"/>
      <c r="F133" s="150"/>
      <c r="G133" s="152"/>
      <c r="H133" s="153">
        <f>1-((14.25)/100)</f>
        <v>0.85750000000000004</v>
      </c>
      <c r="I133" s="154">
        <f>(I116+I120+I121)/H133</f>
        <v>5158.1127198351014</v>
      </c>
      <c r="K133" s="141"/>
    </row>
    <row r="134" spans="1:11" x14ac:dyDescent="0.2">
      <c r="A134" s="65"/>
      <c r="B134" s="65"/>
      <c r="C134" s="65"/>
      <c r="D134" s="65"/>
      <c r="E134" s="65"/>
      <c r="F134" s="65"/>
      <c r="G134" s="65"/>
      <c r="H134" s="65"/>
      <c r="I134" s="155"/>
    </row>
    <row r="135" spans="1:11" x14ac:dyDescent="0.2">
      <c r="A135" s="394" t="s">
        <v>114</v>
      </c>
      <c r="B135" s="395"/>
      <c r="C135" s="395"/>
      <c r="D135" s="395"/>
      <c r="E135" s="395"/>
      <c r="F135" s="395"/>
      <c r="G135" s="395"/>
      <c r="H135" s="395"/>
      <c r="I135" s="396"/>
    </row>
    <row r="136" spans="1:11" ht="12.75" customHeight="1" x14ac:dyDescent="0.2">
      <c r="A136" s="379" t="s">
        <v>115</v>
      </c>
      <c r="B136" s="379"/>
      <c r="C136" s="379"/>
      <c r="D136" s="379"/>
      <c r="E136" s="379"/>
      <c r="F136" s="379"/>
      <c r="G136" s="379"/>
      <c r="H136" s="379"/>
      <c r="I136" s="75" t="s">
        <v>56</v>
      </c>
    </row>
    <row r="137" spans="1:11" ht="13.5" customHeight="1" x14ac:dyDescent="0.2">
      <c r="A137" s="62" t="s">
        <v>34</v>
      </c>
      <c r="B137" s="361" t="str">
        <f>A25</f>
        <v>MÓDULO 1 - COMPOSIÇÃO DA REMUNERAÇÃO</v>
      </c>
      <c r="C137" s="361"/>
      <c r="D137" s="361"/>
      <c r="E137" s="361"/>
      <c r="F137" s="361"/>
      <c r="G137" s="361"/>
      <c r="H137" s="361"/>
      <c r="I137" s="77">
        <f>I33</f>
        <v>1795.03</v>
      </c>
      <c r="K137" s="156"/>
    </row>
    <row r="138" spans="1:11" ht="12.75" customHeight="1" x14ac:dyDescent="0.2">
      <c r="A138" s="157" t="s">
        <v>36</v>
      </c>
      <c r="B138" s="361" t="str">
        <f>A36</f>
        <v>MÓDULO 2 – ENCARGOS E BENEFÍCIOS ANUAIS, MENSAIS E DIÁRIOS</v>
      </c>
      <c r="C138" s="361"/>
      <c r="D138" s="361"/>
      <c r="E138" s="361"/>
      <c r="F138" s="361"/>
      <c r="G138" s="361"/>
      <c r="H138" s="361"/>
      <c r="I138" s="77">
        <f>I70</f>
        <v>1717.77</v>
      </c>
      <c r="K138" s="156"/>
    </row>
    <row r="139" spans="1:11" ht="12.75" customHeight="1" x14ac:dyDescent="0.2">
      <c r="A139" s="157" t="s">
        <v>38</v>
      </c>
      <c r="B139" s="361" t="str">
        <f>A72</f>
        <v>MÓDULO 3 – PROVISÃO PARA RESCISÃO</v>
      </c>
      <c r="C139" s="361"/>
      <c r="D139" s="361"/>
      <c r="E139" s="361"/>
      <c r="F139" s="361"/>
      <c r="G139" s="361"/>
      <c r="H139" s="361"/>
      <c r="I139" s="77">
        <f>I81</f>
        <v>154.01</v>
      </c>
    </row>
    <row r="140" spans="1:11" ht="13.5" customHeight="1" x14ac:dyDescent="0.2">
      <c r="A140" s="62" t="s">
        <v>39</v>
      </c>
      <c r="B140" s="361" t="str">
        <f>A85</f>
        <v>MÓDULO 4 – CUSTO DE REPOSIÇÃO DO PROFISSIONAL AUSENTE</v>
      </c>
      <c r="C140" s="361"/>
      <c r="D140" s="361"/>
      <c r="E140" s="361"/>
      <c r="F140" s="361"/>
      <c r="G140" s="361"/>
      <c r="H140" s="361"/>
      <c r="I140" s="77">
        <f>I105</f>
        <v>114.05682382828283</v>
      </c>
      <c r="K140" s="141"/>
    </row>
    <row r="141" spans="1:11" x14ac:dyDescent="0.2">
      <c r="A141" s="157" t="s">
        <v>61</v>
      </c>
      <c r="B141" s="361" t="str">
        <f>A107</f>
        <v>MÓDULO 5 – INSUMOS DIVERSOS</v>
      </c>
      <c r="C141" s="361"/>
      <c r="D141" s="361"/>
      <c r="E141" s="361"/>
      <c r="F141" s="361"/>
      <c r="G141" s="361"/>
      <c r="H141" s="361"/>
      <c r="I141" s="77">
        <f>I113</f>
        <v>68.09</v>
      </c>
    </row>
    <row r="142" spans="1:11" ht="17.25" customHeight="1" x14ac:dyDescent="0.2">
      <c r="A142" s="79"/>
      <c r="B142" s="379" t="s">
        <v>116</v>
      </c>
      <c r="C142" s="379"/>
      <c r="D142" s="379"/>
      <c r="E142" s="379"/>
      <c r="F142" s="379"/>
      <c r="G142" s="379"/>
      <c r="H142" s="379"/>
      <c r="I142" s="77">
        <f>TRUNC(SUM(I137:I141),2)</f>
        <v>3848.95</v>
      </c>
    </row>
    <row r="143" spans="1:11" ht="12.75" customHeight="1" x14ac:dyDescent="0.2">
      <c r="A143" s="62" t="s">
        <v>63</v>
      </c>
      <c r="B143" s="361" t="str">
        <f>A118</f>
        <v>MÓDULO 6 – CUSTOS INDIRETOS, TRIBUTOS E LUCRO</v>
      </c>
      <c r="C143" s="361"/>
      <c r="D143" s="361"/>
      <c r="E143" s="361"/>
      <c r="F143" s="361"/>
      <c r="G143" s="361"/>
      <c r="H143" s="361"/>
      <c r="I143" s="8">
        <f>I132</f>
        <v>1309.1558960068182</v>
      </c>
    </row>
    <row r="144" spans="1:11" ht="13.5" customHeight="1" x14ac:dyDescent="0.2">
      <c r="A144" s="379" t="s">
        <v>117</v>
      </c>
      <c r="B144" s="379"/>
      <c r="C144" s="379"/>
      <c r="D144" s="379"/>
      <c r="E144" s="379"/>
      <c r="F144" s="379"/>
      <c r="G144" s="379"/>
      <c r="H144" s="379"/>
      <c r="I144" s="10">
        <f>TRUNC(SUM(I142:I143),2)</f>
        <v>5158.1000000000004</v>
      </c>
    </row>
    <row r="145" spans="1:10" ht="13.5" customHeight="1" x14ac:dyDescent="0.2">
      <c r="A145" s="82"/>
      <c r="B145" s="82"/>
      <c r="C145" s="82"/>
      <c r="D145" s="82"/>
      <c r="E145" s="82"/>
      <c r="F145" s="82"/>
      <c r="G145" s="82"/>
      <c r="H145" s="82"/>
      <c r="I145" s="276"/>
    </row>
    <row r="146" spans="1:10" x14ac:dyDescent="0.2">
      <c r="A146" s="12"/>
      <c r="B146" s="12"/>
    </row>
    <row r="147" spans="1:10" x14ac:dyDescent="0.2">
      <c r="A147" s="337" t="s">
        <v>28</v>
      </c>
      <c r="B147" s="338"/>
      <c r="C147" s="179" t="s">
        <v>144</v>
      </c>
      <c r="D147" s="339" t="s">
        <v>146</v>
      </c>
      <c r="E147" s="340"/>
      <c r="F147" s="180" t="s">
        <v>145</v>
      </c>
      <c r="J147" s="7"/>
    </row>
    <row r="148" spans="1:10" x14ac:dyDescent="0.2">
      <c r="A148" s="365" t="s">
        <v>1</v>
      </c>
      <c r="B148" s="366"/>
      <c r="C148" s="181">
        <f>'VI - Demonstrativo final-REAL'!G22</f>
        <v>95405.232817780518</v>
      </c>
      <c r="D148" s="341">
        <v>12</v>
      </c>
      <c r="E148" s="341"/>
      <c r="F148" s="182">
        <f>C148*D148</f>
        <v>1144862.7938133662</v>
      </c>
      <c r="J148" s="7"/>
    </row>
    <row r="149" spans="1:10" x14ac:dyDescent="0.2">
      <c r="A149" s="183" t="s">
        <v>30</v>
      </c>
      <c r="B149" s="184"/>
      <c r="C149" s="181">
        <f>'VI - Demonstrativo final-REAL'!G34</f>
        <v>44511.390998406394</v>
      </c>
      <c r="D149" s="341">
        <v>12</v>
      </c>
      <c r="E149" s="341"/>
      <c r="F149" s="182">
        <f>C149*D149</f>
        <v>534136.69198087673</v>
      </c>
    </row>
    <row r="150" spans="1:10" x14ac:dyDescent="0.2">
      <c r="A150" s="183" t="s">
        <v>2</v>
      </c>
      <c r="B150" s="184"/>
      <c r="C150" s="185">
        <f>'VI - Demonstrativo final-REAL'!J40</f>
        <v>530.99103298376144</v>
      </c>
      <c r="D150" s="341">
        <v>12</v>
      </c>
      <c r="E150" s="341"/>
      <c r="F150" s="182">
        <f>C150*D150</f>
        <v>6371.8923958051373</v>
      </c>
    </row>
    <row r="151" spans="1:10" x14ac:dyDescent="0.2">
      <c r="A151" s="342" t="s">
        <v>147</v>
      </c>
      <c r="B151" s="343"/>
      <c r="C151" s="186">
        <f>SUM(C148:C150)</f>
        <v>140447.61484917067</v>
      </c>
      <c r="D151" s="344"/>
      <c r="E151" s="345"/>
      <c r="F151" s="187">
        <f>SUM(F148:F150)</f>
        <v>1685371.378190048</v>
      </c>
    </row>
  </sheetData>
  <mergeCells count="144">
    <mergeCell ref="A82:I82"/>
    <mergeCell ref="B74:G74"/>
    <mergeCell ref="A105:H105"/>
    <mergeCell ref="A106:I106"/>
    <mergeCell ref="A107:I107"/>
    <mergeCell ref="B109:G109"/>
    <mergeCell ref="B110:G110"/>
    <mergeCell ref="B112:G112"/>
    <mergeCell ref="A113:G113"/>
    <mergeCell ref="B103:H103"/>
    <mergeCell ref="B104:H104"/>
    <mergeCell ref="B75:G75"/>
    <mergeCell ref="B76:G76"/>
    <mergeCell ref="A24:I24"/>
    <mergeCell ref="B9:H9"/>
    <mergeCell ref="B108:G108"/>
    <mergeCell ref="A102:H102"/>
    <mergeCell ref="A94:G94"/>
    <mergeCell ref="B21:H21"/>
    <mergeCell ref="B111:G111"/>
    <mergeCell ref="B93:G93"/>
    <mergeCell ref="A95:I95"/>
    <mergeCell ref="A96:I96"/>
    <mergeCell ref="A97:G97"/>
    <mergeCell ref="B98:G98"/>
    <mergeCell ref="B88:G88"/>
    <mergeCell ref="A83:I83"/>
    <mergeCell ref="A85:I85"/>
    <mergeCell ref="A86:H86"/>
    <mergeCell ref="A87:G87"/>
    <mergeCell ref="B89:G89"/>
    <mergeCell ref="B90:G90"/>
    <mergeCell ref="B91:G91"/>
    <mergeCell ref="B92:G92"/>
    <mergeCell ref="A99:G99"/>
    <mergeCell ref="A100:I100"/>
    <mergeCell ref="A101:I101"/>
    <mergeCell ref="A72:H72"/>
    <mergeCell ref="A73:H73"/>
    <mergeCell ref="B79:G79"/>
    <mergeCell ref="B80:G80"/>
    <mergeCell ref="A81:G81"/>
    <mergeCell ref="B67:H67"/>
    <mergeCell ref="B58:G58"/>
    <mergeCell ref="B59:G59"/>
    <mergeCell ref="A63:I63"/>
    <mergeCell ref="B61:G61"/>
    <mergeCell ref="A62:H62"/>
    <mergeCell ref="A65:I65"/>
    <mergeCell ref="A66:H66"/>
    <mergeCell ref="B68:H68"/>
    <mergeCell ref="B69:H69"/>
    <mergeCell ref="A70:H70"/>
    <mergeCell ref="A71:I71"/>
    <mergeCell ref="B77:G77"/>
    <mergeCell ref="B78:G78"/>
    <mergeCell ref="B19:H19"/>
    <mergeCell ref="B20:H20"/>
    <mergeCell ref="B22:H22"/>
    <mergeCell ref="A1:I1"/>
    <mergeCell ref="A16:I16"/>
    <mergeCell ref="B17:H17"/>
    <mergeCell ref="B18:H18"/>
    <mergeCell ref="B10:H10"/>
    <mergeCell ref="A12:I12"/>
    <mergeCell ref="A13:B13"/>
    <mergeCell ref="C13:D13"/>
    <mergeCell ref="E13:I13"/>
    <mergeCell ref="A14:B14"/>
    <mergeCell ref="C14:D14"/>
    <mergeCell ref="E14:I14"/>
    <mergeCell ref="B8:H8"/>
    <mergeCell ref="B7:H7"/>
    <mergeCell ref="A6:I6"/>
    <mergeCell ref="A5:G5"/>
    <mergeCell ref="A25:I25"/>
    <mergeCell ref="B32:G32"/>
    <mergeCell ref="A33:H33"/>
    <mergeCell ref="A34:I34"/>
    <mergeCell ref="A36:I36"/>
    <mergeCell ref="A37:G37"/>
    <mergeCell ref="B39:G39"/>
    <mergeCell ref="A40:G40"/>
    <mergeCell ref="A42:I42"/>
    <mergeCell ref="B38:G38"/>
    <mergeCell ref="B31:G31"/>
    <mergeCell ref="B26:G26"/>
    <mergeCell ref="B27:G27"/>
    <mergeCell ref="B28:G28"/>
    <mergeCell ref="B29:G29"/>
    <mergeCell ref="B30:G30"/>
    <mergeCell ref="A44:H44"/>
    <mergeCell ref="A45:G45"/>
    <mergeCell ref="B52:G52"/>
    <mergeCell ref="B53:G53"/>
    <mergeCell ref="A54:G54"/>
    <mergeCell ref="A55:I55"/>
    <mergeCell ref="A56:I56"/>
    <mergeCell ref="A57:G57"/>
    <mergeCell ref="B60:G60"/>
    <mergeCell ref="B50:G50"/>
    <mergeCell ref="B51:G51"/>
    <mergeCell ref="B46:G46"/>
    <mergeCell ref="B47:G47"/>
    <mergeCell ref="B48:G48"/>
    <mergeCell ref="B49:G49"/>
    <mergeCell ref="A115:H115"/>
    <mergeCell ref="A116:H116"/>
    <mergeCell ref="A118:I118"/>
    <mergeCell ref="B121:G121"/>
    <mergeCell ref="A122:A131"/>
    <mergeCell ref="B122:G122"/>
    <mergeCell ref="H122:H131"/>
    <mergeCell ref="I122:I131"/>
    <mergeCell ref="B123:G123"/>
    <mergeCell ref="B124:D124"/>
    <mergeCell ref="B126:D126"/>
    <mergeCell ref="B127:G127"/>
    <mergeCell ref="B129:G129"/>
    <mergeCell ref="B130:D130"/>
    <mergeCell ref="B131:D131"/>
    <mergeCell ref="B128:D128"/>
    <mergeCell ref="B119:G119"/>
    <mergeCell ref="B120:G120"/>
    <mergeCell ref="B125:D125"/>
    <mergeCell ref="A148:B148"/>
    <mergeCell ref="D148:E148"/>
    <mergeCell ref="D149:E149"/>
    <mergeCell ref="D150:E150"/>
    <mergeCell ref="A151:B151"/>
    <mergeCell ref="D151:E151"/>
    <mergeCell ref="A132:G132"/>
    <mergeCell ref="A135:I135"/>
    <mergeCell ref="A136:H136"/>
    <mergeCell ref="B141:H141"/>
    <mergeCell ref="B142:H142"/>
    <mergeCell ref="B143:H143"/>
    <mergeCell ref="A144:H144"/>
    <mergeCell ref="A147:B147"/>
    <mergeCell ref="D147:E147"/>
    <mergeCell ref="B138:H138"/>
    <mergeCell ref="B139:H139"/>
    <mergeCell ref="B140:H140"/>
    <mergeCell ref="B137:H137"/>
  </mergeCells>
  <pageMargins left="0.78740157480314965" right="0.59055118110236227" top="1.5748031496062993" bottom="0.59055118110236227" header="0.15748031496062992" footer="0.15748031496062992"/>
  <pageSetup paperSize="9" scale="75" firstPageNumber="0" orientation="portrait" horizontalDpi="300" verticalDpi="300" r:id="rId1"/>
  <headerFooter>
    <oddHeader>&amp;C&amp;G</oddHeader>
    <oddFooter>&amp;L&amp;D&amp;C&amp;Z&amp;F&amp;RPágina &amp;P</oddFooter>
  </headerFooter>
  <rowBreaks count="2" manualBreakCount="2">
    <brk id="54" max="8" man="1"/>
    <brk id="94" max="8" man="1"/>
  </rowBreaks>
  <legacy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dimension ref="A1:Q64"/>
  <sheetViews>
    <sheetView showGridLines="0" view="pageBreakPreview" zoomScaleNormal="100" zoomScaleSheetLayoutView="100" workbookViewId="0">
      <selection activeCell="I43" sqref="I43"/>
    </sheetView>
  </sheetViews>
  <sheetFormatPr defaultRowHeight="12" x14ac:dyDescent="0.2"/>
  <cols>
    <col min="1" max="1" width="5.7109375" style="206" customWidth="1"/>
    <col min="2" max="2" width="25.7109375" style="206" customWidth="1"/>
    <col min="3" max="3" width="13.28515625" style="236" customWidth="1"/>
    <col min="4" max="4" width="15.42578125" style="236" customWidth="1"/>
    <col min="5" max="9" width="15.7109375" style="236" customWidth="1"/>
    <col min="10" max="10" width="14.7109375" style="206" customWidth="1"/>
    <col min="11" max="11" width="13.7109375" style="206" customWidth="1"/>
    <col min="12" max="12" width="14.28515625" style="206" bestFit="1" customWidth="1"/>
    <col min="13" max="13" width="15.7109375" style="206" bestFit="1" customWidth="1"/>
    <col min="14" max="14" width="13.5703125" style="206" customWidth="1"/>
    <col min="15" max="15" width="23.28515625" style="206" customWidth="1"/>
    <col min="16" max="16" width="10.7109375" style="206" bestFit="1" customWidth="1"/>
    <col min="17" max="256" width="9.28515625" style="206"/>
    <col min="257" max="257" width="5.7109375" style="206" customWidth="1"/>
    <col min="258" max="258" width="20.7109375" style="206" customWidth="1"/>
    <col min="259" max="265" width="15.7109375" style="206" customWidth="1"/>
    <col min="266" max="266" width="5.7109375" style="206" customWidth="1"/>
    <col min="267" max="512" width="9.28515625" style="206"/>
    <col min="513" max="513" width="5.7109375" style="206" customWidth="1"/>
    <col min="514" max="514" width="20.7109375" style="206" customWidth="1"/>
    <col min="515" max="521" width="15.7109375" style="206" customWidth="1"/>
    <col min="522" max="522" width="5.7109375" style="206" customWidth="1"/>
    <col min="523" max="768" width="9.28515625" style="206"/>
    <col min="769" max="769" width="5.7109375" style="206" customWidth="1"/>
    <col min="770" max="770" width="20.7109375" style="206" customWidth="1"/>
    <col min="771" max="777" width="15.7109375" style="206" customWidth="1"/>
    <col min="778" max="778" width="5.7109375" style="206" customWidth="1"/>
    <col min="779" max="1024" width="9.28515625" style="206"/>
    <col min="1025" max="1025" width="5.7109375" style="206" customWidth="1"/>
    <col min="1026" max="1026" width="20.7109375" style="206" customWidth="1"/>
    <col min="1027" max="1033" width="15.7109375" style="206" customWidth="1"/>
    <col min="1034" max="1034" width="5.7109375" style="206" customWidth="1"/>
    <col min="1035" max="1280" width="9.28515625" style="206"/>
    <col min="1281" max="1281" width="5.7109375" style="206" customWidth="1"/>
    <col min="1282" max="1282" width="20.7109375" style="206" customWidth="1"/>
    <col min="1283" max="1289" width="15.7109375" style="206" customWidth="1"/>
    <col min="1290" max="1290" width="5.7109375" style="206" customWidth="1"/>
    <col min="1291" max="1536" width="9.28515625" style="206"/>
    <col min="1537" max="1537" width="5.7109375" style="206" customWidth="1"/>
    <col min="1538" max="1538" width="20.7109375" style="206" customWidth="1"/>
    <col min="1539" max="1545" width="15.7109375" style="206" customWidth="1"/>
    <col min="1546" max="1546" width="5.7109375" style="206" customWidth="1"/>
    <col min="1547" max="1792" width="9.28515625" style="206"/>
    <col min="1793" max="1793" width="5.7109375" style="206" customWidth="1"/>
    <col min="1794" max="1794" width="20.7109375" style="206" customWidth="1"/>
    <col min="1795" max="1801" width="15.7109375" style="206" customWidth="1"/>
    <col min="1802" max="1802" width="5.7109375" style="206" customWidth="1"/>
    <col min="1803" max="2048" width="9.28515625" style="206"/>
    <col min="2049" max="2049" width="5.7109375" style="206" customWidth="1"/>
    <col min="2050" max="2050" width="20.7109375" style="206" customWidth="1"/>
    <col min="2051" max="2057" width="15.7109375" style="206" customWidth="1"/>
    <col min="2058" max="2058" width="5.7109375" style="206" customWidth="1"/>
    <col min="2059" max="2304" width="9.28515625" style="206"/>
    <col min="2305" max="2305" width="5.7109375" style="206" customWidth="1"/>
    <col min="2306" max="2306" width="20.7109375" style="206" customWidth="1"/>
    <col min="2307" max="2313" width="15.7109375" style="206" customWidth="1"/>
    <col min="2314" max="2314" width="5.7109375" style="206" customWidth="1"/>
    <col min="2315" max="2560" width="9.28515625" style="206"/>
    <col min="2561" max="2561" width="5.7109375" style="206" customWidth="1"/>
    <col min="2562" max="2562" width="20.7109375" style="206" customWidth="1"/>
    <col min="2563" max="2569" width="15.7109375" style="206" customWidth="1"/>
    <col min="2570" max="2570" width="5.7109375" style="206" customWidth="1"/>
    <col min="2571" max="2816" width="9.28515625" style="206"/>
    <col min="2817" max="2817" width="5.7109375" style="206" customWidth="1"/>
    <col min="2818" max="2818" width="20.7109375" style="206" customWidth="1"/>
    <col min="2819" max="2825" width="15.7109375" style="206" customWidth="1"/>
    <col min="2826" max="2826" width="5.7109375" style="206" customWidth="1"/>
    <col min="2827" max="3072" width="9.28515625" style="206"/>
    <col min="3073" max="3073" width="5.7109375" style="206" customWidth="1"/>
    <col min="3074" max="3074" width="20.7109375" style="206" customWidth="1"/>
    <col min="3075" max="3081" width="15.7109375" style="206" customWidth="1"/>
    <col min="3082" max="3082" width="5.7109375" style="206" customWidth="1"/>
    <col min="3083" max="3328" width="9.28515625" style="206"/>
    <col min="3329" max="3329" width="5.7109375" style="206" customWidth="1"/>
    <col min="3330" max="3330" width="20.7109375" style="206" customWidth="1"/>
    <col min="3331" max="3337" width="15.7109375" style="206" customWidth="1"/>
    <col min="3338" max="3338" width="5.7109375" style="206" customWidth="1"/>
    <col min="3339" max="3584" width="9.28515625" style="206"/>
    <col min="3585" max="3585" width="5.7109375" style="206" customWidth="1"/>
    <col min="3586" max="3586" width="20.7109375" style="206" customWidth="1"/>
    <col min="3587" max="3593" width="15.7109375" style="206" customWidth="1"/>
    <col min="3594" max="3594" width="5.7109375" style="206" customWidth="1"/>
    <col min="3595" max="3840" width="9.28515625" style="206"/>
    <col min="3841" max="3841" width="5.7109375" style="206" customWidth="1"/>
    <col min="3842" max="3842" width="20.7109375" style="206" customWidth="1"/>
    <col min="3843" max="3849" width="15.7109375" style="206" customWidth="1"/>
    <col min="3850" max="3850" width="5.7109375" style="206" customWidth="1"/>
    <col min="3851" max="4096" width="9.28515625" style="206"/>
    <col min="4097" max="4097" width="5.7109375" style="206" customWidth="1"/>
    <col min="4098" max="4098" width="20.7109375" style="206" customWidth="1"/>
    <col min="4099" max="4105" width="15.7109375" style="206" customWidth="1"/>
    <col min="4106" max="4106" width="5.7109375" style="206" customWidth="1"/>
    <col min="4107" max="4352" width="9.28515625" style="206"/>
    <col min="4353" max="4353" width="5.7109375" style="206" customWidth="1"/>
    <col min="4354" max="4354" width="20.7109375" style="206" customWidth="1"/>
    <col min="4355" max="4361" width="15.7109375" style="206" customWidth="1"/>
    <col min="4362" max="4362" width="5.7109375" style="206" customWidth="1"/>
    <col min="4363" max="4608" width="9.28515625" style="206"/>
    <col min="4609" max="4609" width="5.7109375" style="206" customWidth="1"/>
    <col min="4610" max="4610" width="20.7109375" style="206" customWidth="1"/>
    <col min="4611" max="4617" width="15.7109375" style="206" customWidth="1"/>
    <col min="4618" max="4618" width="5.7109375" style="206" customWidth="1"/>
    <col min="4619" max="4864" width="9.28515625" style="206"/>
    <col min="4865" max="4865" width="5.7109375" style="206" customWidth="1"/>
    <col min="4866" max="4866" width="20.7109375" style="206" customWidth="1"/>
    <col min="4867" max="4873" width="15.7109375" style="206" customWidth="1"/>
    <col min="4874" max="4874" width="5.7109375" style="206" customWidth="1"/>
    <col min="4875" max="5120" width="9.28515625" style="206"/>
    <col min="5121" max="5121" width="5.7109375" style="206" customWidth="1"/>
    <col min="5122" max="5122" width="20.7109375" style="206" customWidth="1"/>
    <col min="5123" max="5129" width="15.7109375" style="206" customWidth="1"/>
    <col min="5130" max="5130" width="5.7109375" style="206" customWidth="1"/>
    <col min="5131" max="5376" width="9.28515625" style="206"/>
    <col min="5377" max="5377" width="5.7109375" style="206" customWidth="1"/>
    <col min="5378" max="5378" width="20.7109375" style="206" customWidth="1"/>
    <col min="5379" max="5385" width="15.7109375" style="206" customWidth="1"/>
    <col min="5386" max="5386" width="5.7109375" style="206" customWidth="1"/>
    <col min="5387" max="5632" width="9.28515625" style="206"/>
    <col min="5633" max="5633" width="5.7109375" style="206" customWidth="1"/>
    <col min="5634" max="5634" width="20.7109375" style="206" customWidth="1"/>
    <col min="5635" max="5641" width="15.7109375" style="206" customWidth="1"/>
    <col min="5642" max="5642" width="5.7109375" style="206" customWidth="1"/>
    <col min="5643" max="5888" width="9.28515625" style="206"/>
    <col min="5889" max="5889" width="5.7109375" style="206" customWidth="1"/>
    <col min="5890" max="5890" width="20.7109375" style="206" customWidth="1"/>
    <col min="5891" max="5897" width="15.7109375" style="206" customWidth="1"/>
    <col min="5898" max="5898" width="5.7109375" style="206" customWidth="1"/>
    <col min="5899" max="6144" width="9.28515625" style="206"/>
    <col min="6145" max="6145" width="5.7109375" style="206" customWidth="1"/>
    <col min="6146" max="6146" width="20.7109375" style="206" customWidth="1"/>
    <col min="6147" max="6153" width="15.7109375" style="206" customWidth="1"/>
    <col min="6154" max="6154" width="5.7109375" style="206" customWidth="1"/>
    <col min="6155" max="6400" width="9.28515625" style="206"/>
    <col min="6401" max="6401" width="5.7109375" style="206" customWidth="1"/>
    <col min="6402" max="6402" width="20.7109375" style="206" customWidth="1"/>
    <col min="6403" max="6409" width="15.7109375" style="206" customWidth="1"/>
    <col min="6410" max="6410" width="5.7109375" style="206" customWidth="1"/>
    <col min="6411" max="6656" width="9.28515625" style="206"/>
    <col min="6657" max="6657" width="5.7109375" style="206" customWidth="1"/>
    <col min="6658" max="6658" width="20.7109375" style="206" customWidth="1"/>
    <col min="6659" max="6665" width="15.7109375" style="206" customWidth="1"/>
    <col min="6666" max="6666" width="5.7109375" style="206" customWidth="1"/>
    <col min="6667" max="6912" width="9.28515625" style="206"/>
    <col min="6913" max="6913" width="5.7109375" style="206" customWidth="1"/>
    <col min="6914" max="6914" width="20.7109375" style="206" customWidth="1"/>
    <col min="6915" max="6921" width="15.7109375" style="206" customWidth="1"/>
    <col min="6922" max="6922" width="5.7109375" style="206" customWidth="1"/>
    <col min="6923" max="7168" width="9.28515625" style="206"/>
    <col min="7169" max="7169" width="5.7109375" style="206" customWidth="1"/>
    <col min="7170" max="7170" width="20.7109375" style="206" customWidth="1"/>
    <col min="7171" max="7177" width="15.7109375" style="206" customWidth="1"/>
    <col min="7178" max="7178" width="5.7109375" style="206" customWidth="1"/>
    <col min="7179" max="7424" width="9.28515625" style="206"/>
    <col min="7425" max="7425" width="5.7109375" style="206" customWidth="1"/>
    <col min="7426" max="7426" width="20.7109375" style="206" customWidth="1"/>
    <col min="7427" max="7433" width="15.7109375" style="206" customWidth="1"/>
    <col min="7434" max="7434" width="5.7109375" style="206" customWidth="1"/>
    <col min="7435" max="7680" width="9.28515625" style="206"/>
    <col min="7681" max="7681" width="5.7109375" style="206" customWidth="1"/>
    <col min="7682" max="7682" width="20.7109375" style="206" customWidth="1"/>
    <col min="7683" max="7689" width="15.7109375" style="206" customWidth="1"/>
    <col min="7690" max="7690" width="5.7109375" style="206" customWidth="1"/>
    <col min="7691" max="7936" width="9.28515625" style="206"/>
    <col min="7937" max="7937" width="5.7109375" style="206" customWidth="1"/>
    <col min="7938" max="7938" width="20.7109375" style="206" customWidth="1"/>
    <col min="7939" max="7945" width="15.7109375" style="206" customWidth="1"/>
    <col min="7946" max="7946" width="5.7109375" style="206" customWidth="1"/>
    <col min="7947" max="8192" width="9.28515625" style="206"/>
    <col min="8193" max="8193" width="5.7109375" style="206" customWidth="1"/>
    <col min="8194" max="8194" width="20.7109375" style="206" customWidth="1"/>
    <col min="8195" max="8201" width="15.7109375" style="206" customWidth="1"/>
    <col min="8202" max="8202" width="5.7109375" style="206" customWidth="1"/>
    <col min="8203" max="8448" width="9.28515625" style="206"/>
    <col min="8449" max="8449" width="5.7109375" style="206" customWidth="1"/>
    <col min="8450" max="8450" width="20.7109375" style="206" customWidth="1"/>
    <col min="8451" max="8457" width="15.7109375" style="206" customWidth="1"/>
    <col min="8458" max="8458" width="5.7109375" style="206" customWidth="1"/>
    <col min="8459" max="8704" width="9.28515625" style="206"/>
    <col min="8705" max="8705" width="5.7109375" style="206" customWidth="1"/>
    <col min="8706" max="8706" width="20.7109375" style="206" customWidth="1"/>
    <col min="8707" max="8713" width="15.7109375" style="206" customWidth="1"/>
    <col min="8714" max="8714" width="5.7109375" style="206" customWidth="1"/>
    <col min="8715" max="8960" width="9.28515625" style="206"/>
    <col min="8961" max="8961" width="5.7109375" style="206" customWidth="1"/>
    <col min="8962" max="8962" width="20.7109375" style="206" customWidth="1"/>
    <col min="8963" max="8969" width="15.7109375" style="206" customWidth="1"/>
    <col min="8970" max="8970" width="5.7109375" style="206" customWidth="1"/>
    <col min="8971" max="9216" width="9.28515625" style="206"/>
    <col min="9217" max="9217" width="5.7109375" style="206" customWidth="1"/>
    <col min="9218" max="9218" width="20.7109375" style="206" customWidth="1"/>
    <col min="9219" max="9225" width="15.7109375" style="206" customWidth="1"/>
    <col min="9226" max="9226" width="5.7109375" style="206" customWidth="1"/>
    <col min="9227" max="9472" width="9.28515625" style="206"/>
    <col min="9473" max="9473" width="5.7109375" style="206" customWidth="1"/>
    <col min="9474" max="9474" width="20.7109375" style="206" customWidth="1"/>
    <col min="9475" max="9481" width="15.7109375" style="206" customWidth="1"/>
    <col min="9482" max="9482" width="5.7109375" style="206" customWidth="1"/>
    <col min="9483" max="9728" width="9.28515625" style="206"/>
    <col min="9729" max="9729" width="5.7109375" style="206" customWidth="1"/>
    <col min="9730" max="9730" width="20.7109375" style="206" customWidth="1"/>
    <col min="9731" max="9737" width="15.7109375" style="206" customWidth="1"/>
    <col min="9738" max="9738" width="5.7109375" style="206" customWidth="1"/>
    <col min="9739" max="9984" width="9.28515625" style="206"/>
    <col min="9985" max="9985" width="5.7109375" style="206" customWidth="1"/>
    <col min="9986" max="9986" width="20.7109375" style="206" customWidth="1"/>
    <col min="9987" max="9993" width="15.7109375" style="206" customWidth="1"/>
    <col min="9994" max="9994" width="5.7109375" style="206" customWidth="1"/>
    <col min="9995" max="10240" width="9.28515625" style="206"/>
    <col min="10241" max="10241" width="5.7109375" style="206" customWidth="1"/>
    <col min="10242" max="10242" width="20.7109375" style="206" customWidth="1"/>
    <col min="10243" max="10249" width="15.7109375" style="206" customWidth="1"/>
    <col min="10250" max="10250" width="5.7109375" style="206" customWidth="1"/>
    <col min="10251" max="10496" width="9.28515625" style="206"/>
    <col min="10497" max="10497" width="5.7109375" style="206" customWidth="1"/>
    <col min="10498" max="10498" width="20.7109375" style="206" customWidth="1"/>
    <col min="10499" max="10505" width="15.7109375" style="206" customWidth="1"/>
    <col min="10506" max="10506" width="5.7109375" style="206" customWidth="1"/>
    <col min="10507" max="10752" width="9.28515625" style="206"/>
    <col min="10753" max="10753" width="5.7109375" style="206" customWidth="1"/>
    <col min="10754" max="10754" width="20.7109375" style="206" customWidth="1"/>
    <col min="10755" max="10761" width="15.7109375" style="206" customWidth="1"/>
    <col min="10762" max="10762" width="5.7109375" style="206" customWidth="1"/>
    <col min="10763" max="11008" width="9.28515625" style="206"/>
    <col min="11009" max="11009" width="5.7109375" style="206" customWidth="1"/>
    <col min="11010" max="11010" width="20.7109375" style="206" customWidth="1"/>
    <col min="11011" max="11017" width="15.7109375" style="206" customWidth="1"/>
    <col min="11018" max="11018" width="5.7109375" style="206" customWidth="1"/>
    <col min="11019" max="11264" width="9.28515625" style="206"/>
    <col min="11265" max="11265" width="5.7109375" style="206" customWidth="1"/>
    <col min="11266" max="11266" width="20.7109375" style="206" customWidth="1"/>
    <col min="11267" max="11273" width="15.7109375" style="206" customWidth="1"/>
    <col min="11274" max="11274" width="5.7109375" style="206" customWidth="1"/>
    <col min="11275" max="11520" width="9.28515625" style="206"/>
    <col min="11521" max="11521" width="5.7109375" style="206" customWidth="1"/>
    <col min="11522" max="11522" width="20.7109375" style="206" customWidth="1"/>
    <col min="11523" max="11529" width="15.7109375" style="206" customWidth="1"/>
    <col min="11530" max="11530" width="5.7109375" style="206" customWidth="1"/>
    <col min="11531" max="11776" width="9.28515625" style="206"/>
    <col min="11777" max="11777" width="5.7109375" style="206" customWidth="1"/>
    <col min="11778" max="11778" width="20.7109375" style="206" customWidth="1"/>
    <col min="11779" max="11785" width="15.7109375" style="206" customWidth="1"/>
    <col min="11786" max="11786" width="5.7109375" style="206" customWidth="1"/>
    <col min="11787" max="12032" width="9.28515625" style="206"/>
    <col min="12033" max="12033" width="5.7109375" style="206" customWidth="1"/>
    <col min="12034" max="12034" width="20.7109375" style="206" customWidth="1"/>
    <col min="12035" max="12041" width="15.7109375" style="206" customWidth="1"/>
    <col min="12042" max="12042" width="5.7109375" style="206" customWidth="1"/>
    <col min="12043" max="12288" width="9.28515625" style="206"/>
    <col min="12289" max="12289" width="5.7109375" style="206" customWidth="1"/>
    <col min="12290" max="12290" width="20.7109375" style="206" customWidth="1"/>
    <col min="12291" max="12297" width="15.7109375" style="206" customWidth="1"/>
    <col min="12298" max="12298" width="5.7109375" style="206" customWidth="1"/>
    <col min="12299" max="12544" width="9.28515625" style="206"/>
    <col min="12545" max="12545" width="5.7109375" style="206" customWidth="1"/>
    <col min="12546" max="12546" width="20.7109375" style="206" customWidth="1"/>
    <col min="12547" max="12553" width="15.7109375" style="206" customWidth="1"/>
    <col min="12554" max="12554" width="5.7109375" style="206" customWidth="1"/>
    <col min="12555" max="12800" width="9.28515625" style="206"/>
    <col min="12801" max="12801" width="5.7109375" style="206" customWidth="1"/>
    <col min="12802" max="12802" width="20.7109375" style="206" customWidth="1"/>
    <col min="12803" max="12809" width="15.7109375" style="206" customWidth="1"/>
    <col min="12810" max="12810" width="5.7109375" style="206" customWidth="1"/>
    <col min="12811" max="13056" width="9.28515625" style="206"/>
    <col min="13057" max="13057" width="5.7109375" style="206" customWidth="1"/>
    <col min="13058" max="13058" width="20.7109375" style="206" customWidth="1"/>
    <col min="13059" max="13065" width="15.7109375" style="206" customWidth="1"/>
    <col min="13066" max="13066" width="5.7109375" style="206" customWidth="1"/>
    <col min="13067" max="13312" width="9.28515625" style="206"/>
    <col min="13313" max="13313" width="5.7109375" style="206" customWidth="1"/>
    <col min="13314" max="13314" width="20.7109375" style="206" customWidth="1"/>
    <col min="13315" max="13321" width="15.7109375" style="206" customWidth="1"/>
    <col min="13322" max="13322" width="5.7109375" style="206" customWidth="1"/>
    <col min="13323" max="13568" width="9.28515625" style="206"/>
    <col min="13569" max="13569" width="5.7109375" style="206" customWidth="1"/>
    <col min="13570" max="13570" width="20.7109375" style="206" customWidth="1"/>
    <col min="13571" max="13577" width="15.7109375" style="206" customWidth="1"/>
    <col min="13578" max="13578" width="5.7109375" style="206" customWidth="1"/>
    <col min="13579" max="13824" width="9.28515625" style="206"/>
    <col min="13825" max="13825" width="5.7109375" style="206" customWidth="1"/>
    <col min="13826" max="13826" width="20.7109375" style="206" customWidth="1"/>
    <col min="13827" max="13833" width="15.7109375" style="206" customWidth="1"/>
    <col min="13834" max="13834" width="5.7109375" style="206" customWidth="1"/>
    <col min="13835" max="14080" width="9.28515625" style="206"/>
    <col min="14081" max="14081" width="5.7109375" style="206" customWidth="1"/>
    <col min="14082" max="14082" width="20.7109375" style="206" customWidth="1"/>
    <col min="14083" max="14089" width="15.7109375" style="206" customWidth="1"/>
    <col min="14090" max="14090" width="5.7109375" style="206" customWidth="1"/>
    <col min="14091" max="14336" width="9.28515625" style="206"/>
    <col min="14337" max="14337" width="5.7109375" style="206" customWidth="1"/>
    <col min="14338" max="14338" width="20.7109375" style="206" customWidth="1"/>
    <col min="14339" max="14345" width="15.7109375" style="206" customWidth="1"/>
    <col min="14346" max="14346" width="5.7109375" style="206" customWidth="1"/>
    <col min="14347" max="14592" width="9.28515625" style="206"/>
    <col min="14593" max="14593" width="5.7109375" style="206" customWidth="1"/>
    <col min="14594" max="14594" width="20.7109375" style="206" customWidth="1"/>
    <col min="14595" max="14601" width="15.7109375" style="206" customWidth="1"/>
    <col min="14602" max="14602" width="5.7109375" style="206" customWidth="1"/>
    <col min="14603" max="14848" width="9.28515625" style="206"/>
    <col min="14849" max="14849" width="5.7109375" style="206" customWidth="1"/>
    <col min="14850" max="14850" width="20.7109375" style="206" customWidth="1"/>
    <col min="14851" max="14857" width="15.7109375" style="206" customWidth="1"/>
    <col min="14858" max="14858" width="5.7109375" style="206" customWidth="1"/>
    <col min="14859" max="15104" width="9.28515625" style="206"/>
    <col min="15105" max="15105" width="5.7109375" style="206" customWidth="1"/>
    <col min="15106" max="15106" width="20.7109375" style="206" customWidth="1"/>
    <col min="15107" max="15113" width="15.7109375" style="206" customWidth="1"/>
    <col min="15114" max="15114" width="5.7109375" style="206" customWidth="1"/>
    <col min="15115" max="15360" width="9.28515625" style="206"/>
    <col min="15361" max="15361" width="5.7109375" style="206" customWidth="1"/>
    <col min="15362" max="15362" width="20.7109375" style="206" customWidth="1"/>
    <col min="15363" max="15369" width="15.7109375" style="206" customWidth="1"/>
    <col min="15370" max="15370" width="5.7109375" style="206" customWidth="1"/>
    <col min="15371" max="15616" width="9.28515625" style="206"/>
    <col min="15617" max="15617" width="5.7109375" style="206" customWidth="1"/>
    <col min="15618" max="15618" width="20.7109375" style="206" customWidth="1"/>
    <col min="15619" max="15625" width="15.7109375" style="206" customWidth="1"/>
    <col min="15626" max="15626" width="5.7109375" style="206" customWidth="1"/>
    <col min="15627" max="15872" width="9.28515625" style="206"/>
    <col min="15873" max="15873" width="5.7109375" style="206" customWidth="1"/>
    <col min="15874" max="15874" width="20.7109375" style="206" customWidth="1"/>
    <col min="15875" max="15881" width="15.7109375" style="206" customWidth="1"/>
    <col min="15882" max="15882" width="5.7109375" style="206" customWidth="1"/>
    <col min="15883" max="16128" width="9.28515625" style="206"/>
    <col min="16129" max="16129" width="5.7109375" style="206" customWidth="1"/>
    <col min="16130" max="16130" width="20.7109375" style="206" customWidth="1"/>
    <col min="16131" max="16137" width="15.7109375" style="206" customWidth="1"/>
    <col min="16138" max="16138" width="5.7109375" style="206" customWidth="1"/>
    <col min="16139" max="16384" width="9.28515625" style="206"/>
  </cols>
  <sheetData>
    <row r="1" spans="1:17" ht="21" customHeight="1" x14ac:dyDescent="0.2">
      <c r="A1" s="543" t="s">
        <v>200</v>
      </c>
      <c r="B1" s="543"/>
      <c r="C1" s="543"/>
      <c r="D1" s="543"/>
      <c r="E1" s="543"/>
      <c r="F1" s="543"/>
      <c r="G1" s="543"/>
      <c r="H1" s="543"/>
      <c r="I1" s="543"/>
      <c r="J1" s="205"/>
    </row>
    <row r="2" spans="1:17" ht="12" customHeight="1" x14ac:dyDescent="0.2">
      <c r="A2" s="205"/>
      <c r="B2" s="205" t="s">
        <v>206</v>
      </c>
      <c r="C2" s="205"/>
      <c r="D2" s="205"/>
      <c r="E2" s="205"/>
      <c r="F2" s="205"/>
      <c r="G2" s="205"/>
      <c r="H2" s="205"/>
      <c r="I2" s="205"/>
      <c r="J2" s="205"/>
    </row>
    <row r="3" spans="1:17" ht="12" customHeight="1" x14ac:dyDescent="0.2">
      <c r="A3" s="205"/>
      <c r="B3" s="544" t="s">
        <v>209</v>
      </c>
      <c r="C3" s="544"/>
      <c r="D3" s="205"/>
      <c r="E3" s="205"/>
      <c r="F3" s="205"/>
      <c r="G3" s="205"/>
      <c r="H3" s="205"/>
      <c r="I3" s="205"/>
      <c r="J3" s="205"/>
    </row>
    <row r="4" spans="1:17" x14ac:dyDescent="0.2">
      <c r="B4" s="533" t="s">
        <v>3</v>
      </c>
      <c r="C4" s="534"/>
      <c r="D4" s="534"/>
      <c r="E4" s="534"/>
      <c r="F4" s="534"/>
      <c r="G4" s="534"/>
      <c r="H4" s="535"/>
      <c r="I4" s="207"/>
      <c r="J4" s="208"/>
      <c r="K4" s="208"/>
      <c r="L4" s="208"/>
    </row>
    <row r="5" spans="1:17" x14ac:dyDescent="0.2">
      <c r="B5" s="533" t="s">
        <v>4</v>
      </c>
      <c r="C5" s="534"/>
      <c r="D5" s="534"/>
      <c r="E5" s="534"/>
      <c r="F5" s="534"/>
      <c r="G5" s="534"/>
      <c r="H5" s="535"/>
      <c r="I5" s="209"/>
      <c r="J5" s="208"/>
      <c r="K5" s="208"/>
      <c r="L5" s="208"/>
    </row>
    <row r="6" spans="1:17" s="210" customFormat="1" ht="24" x14ac:dyDescent="0.2">
      <c r="B6" s="211" t="s">
        <v>5</v>
      </c>
      <c r="C6" s="212" t="s">
        <v>6</v>
      </c>
      <c r="D6" s="212" t="s">
        <v>7</v>
      </c>
      <c r="E6" s="212" t="s">
        <v>8</v>
      </c>
      <c r="F6" s="212" t="s">
        <v>9</v>
      </c>
      <c r="G6" s="213" t="s">
        <v>142</v>
      </c>
      <c r="H6" s="213" t="s">
        <v>143</v>
      </c>
      <c r="I6" s="214"/>
      <c r="J6" s="215"/>
      <c r="K6" s="215"/>
      <c r="L6" s="215"/>
      <c r="M6" s="529"/>
      <c r="N6" s="529"/>
      <c r="O6" s="529"/>
      <c r="P6" s="529"/>
      <c r="Q6" s="529"/>
    </row>
    <row r="7" spans="1:17" s="210" customFormat="1" x14ac:dyDescent="0.2">
      <c r="B7" s="216" t="s">
        <v>172</v>
      </c>
      <c r="C7" s="271">
        <v>1200</v>
      </c>
      <c r="D7" s="217">
        <f>1/C7</f>
        <v>8.3333333333333339E-4</v>
      </c>
      <c r="E7" s="218">
        <f>'SERVENTE REAL'!I164</f>
        <v>4588.7356333118132</v>
      </c>
      <c r="F7" s="218">
        <f>D7*E7</f>
        <v>3.8239463610931779</v>
      </c>
      <c r="G7" s="219">
        <f>F7*F44</f>
        <v>34488.70758318992</v>
      </c>
      <c r="H7" s="220">
        <f>G7*12</f>
        <v>413864.49099827907</v>
      </c>
      <c r="I7" s="545"/>
      <c r="J7" s="545"/>
      <c r="K7" s="545"/>
      <c r="L7" s="545"/>
      <c r="M7" s="529"/>
      <c r="N7" s="529"/>
      <c r="O7" s="529"/>
      <c r="P7" s="529"/>
      <c r="Q7" s="529"/>
    </row>
    <row r="8" spans="1:17" s="210" customFormat="1" x14ac:dyDescent="0.2">
      <c r="B8" s="216" t="s">
        <v>173</v>
      </c>
      <c r="C8" s="271">
        <v>1200</v>
      </c>
      <c r="D8" s="217">
        <f>(1/(30*C8))</f>
        <v>2.7777777777777779E-5</v>
      </c>
      <c r="E8" s="218">
        <f>ENCARREGADO!I144</f>
        <v>5158.1000000000004</v>
      </c>
      <c r="F8" s="218">
        <f>(D8*E8)</f>
        <v>0.14328055555555558</v>
      </c>
      <c r="G8" s="219">
        <f>F8*F44</f>
        <v>1292.2673898333335</v>
      </c>
      <c r="H8" s="220">
        <f t="shared" ref="H8:H9" si="0">G8*12</f>
        <v>15507.208678000003</v>
      </c>
      <c r="I8" s="221"/>
      <c r="J8" s="221"/>
      <c r="K8" s="221"/>
      <c r="L8" s="221"/>
      <c r="M8" s="529"/>
      <c r="N8" s="529"/>
      <c r="O8" s="529"/>
      <c r="P8" s="529"/>
      <c r="Q8" s="529"/>
    </row>
    <row r="9" spans="1:17" s="210" customFormat="1" ht="12.75" x14ac:dyDescent="0.2">
      <c r="B9" s="520" t="s">
        <v>10</v>
      </c>
      <c r="C9" s="520"/>
      <c r="D9" s="520"/>
      <c r="E9" s="520"/>
      <c r="F9" s="222">
        <f>SUM(F7:F8)</f>
        <v>3.9672269166487335</v>
      </c>
      <c r="G9" s="223">
        <f>F9*F44</f>
        <v>35780.974973023258</v>
      </c>
      <c r="H9" s="224">
        <f t="shared" si="0"/>
        <v>429371.6996762791</v>
      </c>
      <c r="I9" s="221"/>
      <c r="J9" s="4"/>
      <c r="K9" s="221"/>
      <c r="L9" s="221"/>
      <c r="M9" s="529"/>
      <c r="N9" s="529"/>
      <c r="O9" s="529"/>
      <c r="P9" s="529"/>
      <c r="Q9" s="529"/>
    </row>
    <row r="10" spans="1:17" x14ac:dyDescent="0.2">
      <c r="B10" s="216" t="s">
        <v>174</v>
      </c>
      <c r="C10" s="271">
        <v>400</v>
      </c>
      <c r="D10" s="217">
        <f>1/C10</f>
        <v>2.5000000000000001E-3</v>
      </c>
      <c r="E10" s="218">
        <f>'SERVENTE REAL'!I164</f>
        <v>4588.7356333118132</v>
      </c>
      <c r="F10" s="218">
        <f>D10*E10</f>
        <v>11.471839083279534</v>
      </c>
      <c r="G10" s="219">
        <f>F10*F45</f>
        <v>24908.345327961524</v>
      </c>
      <c r="H10" s="220">
        <f>G10*12</f>
        <v>298900.1439355383</v>
      </c>
      <c r="I10" s="209"/>
      <c r="J10" s="208"/>
      <c r="K10" s="208"/>
      <c r="L10" s="208"/>
      <c r="M10" s="529"/>
      <c r="N10" s="529"/>
      <c r="O10" s="529"/>
      <c r="P10" s="529"/>
      <c r="Q10" s="529"/>
    </row>
    <row r="11" spans="1:17" x14ac:dyDescent="0.2">
      <c r="B11" s="216" t="s">
        <v>173</v>
      </c>
      <c r="C11" s="271">
        <v>400</v>
      </c>
      <c r="D11" s="217">
        <f>(1/(30*C11))</f>
        <v>8.3333333333333331E-5</v>
      </c>
      <c r="E11" s="218">
        <f>ENCARREGADO!I144</f>
        <v>5158.1000000000004</v>
      </c>
      <c r="F11" s="218">
        <f>E11*D11</f>
        <v>0.42984166666666668</v>
      </c>
      <c r="G11" s="219">
        <f>F11*F45</f>
        <v>933.2980171666668</v>
      </c>
      <c r="H11" s="220">
        <f t="shared" ref="H11" si="1">G11*12</f>
        <v>11199.576206000002</v>
      </c>
      <c r="I11" s="209"/>
      <c r="J11" s="208"/>
      <c r="K11" s="208"/>
      <c r="L11" s="208"/>
      <c r="M11" s="529"/>
      <c r="N11" s="529"/>
      <c r="O11" s="529"/>
      <c r="P11" s="529"/>
      <c r="Q11" s="529"/>
    </row>
    <row r="12" spans="1:17" ht="12.75" x14ac:dyDescent="0.2">
      <c r="B12" s="520" t="s">
        <v>10</v>
      </c>
      <c r="C12" s="520"/>
      <c r="D12" s="520"/>
      <c r="E12" s="520"/>
      <c r="F12" s="222">
        <f>SUM(F10:F11)</f>
        <v>11.9016807499462</v>
      </c>
      <c r="G12" s="223">
        <f>SUM(G10:G11)</f>
        <v>25841.643345128192</v>
      </c>
      <c r="H12" s="224">
        <f>G12*12</f>
        <v>310099.7201415383</v>
      </c>
      <c r="I12" s="5"/>
      <c r="J12" s="6"/>
      <c r="K12" s="208"/>
      <c r="L12" s="208"/>
      <c r="M12" s="529"/>
      <c r="N12" s="529"/>
      <c r="O12" s="529"/>
      <c r="P12" s="529"/>
      <c r="Q12" s="529"/>
    </row>
    <row r="13" spans="1:17" ht="24" x14ac:dyDescent="0.2">
      <c r="B13" s="225" t="s">
        <v>176</v>
      </c>
      <c r="C13" s="272">
        <v>2400</v>
      </c>
      <c r="D13" s="217">
        <f>1/C13</f>
        <v>4.1666666666666669E-4</v>
      </c>
      <c r="E13" s="218">
        <f>'SERVENTE REAL'!I164</f>
        <v>4588.7356333118132</v>
      </c>
      <c r="F13" s="218">
        <f>D13*E13</f>
        <v>1.9119731805465889</v>
      </c>
      <c r="G13" s="219">
        <f>F13*F46</f>
        <v>6542.5045475851512</v>
      </c>
      <c r="H13" s="220">
        <f>G13*12</f>
        <v>78510.054571021814</v>
      </c>
      <c r="I13" s="209"/>
      <c r="J13" s="208"/>
      <c r="K13" s="208"/>
      <c r="L13" s="208"/>
      <c r="M13" s="529"/>
      <c r="N13" s="529"/>
      <c r="O13" s="529"/>
      <c r="P13" s="529"/>
      <c r="Q13" s="529"/>
    </row>
    <row r="14" spans="1:17" x14ac:dyDescent="0.2">
      <c r="B14" s="216" t="s">
        <v>175</v>
      </c>
      <c r="C14" s="272">
        <v>2400</v>
      </c>
      <c r="D14" s="217">
        <f>(1/(30*C14))</f>
        <v>1.388888888888889E-5</v>
      </c>
      <c r="E14" s="218">
        <f>ENCARREGADO!I144</f>
        <v>5158.1000000000004</v>
      </c>
      <c r="F14" s="218">
        <f>E14*D14</f>
        <v>7.1640277777777789E-2</v>
      </c>
      <c r="G14" s="219">
        <f>F14*F46</f>
        <v>245.14300091666672</v>
      </c>
      <c r="H14" s="220">
        <f t="shared" ref="H14" si="2">G14*12</f>
        <v>2941.7160110000004</v>
      </c>
      <c r="I14" s="209"/>
      <c r="J14" s="208"/>
      <c r="K14" s="208"/>
      <c r="L14" s="208"/>
      <c r="M14" s="529"/>
      <c r="N14" s="529"/>
      <c r="O14" s="529"/>
      <c r="P14" s="529"/>
      <c r="Q14" s="529"/>
    </row>
    <row r="15" spans="1:17" ht="18" customHeight="1" x14ac:dyDescent="0.2">
      <c r="B15" s="520" t="s">
        <v>10</v>
      </c>
      <c r="C15" s="520"/>
      <c r="D15" s="520"/>
      <c r="E15" s="520"/>
      <c r="F15" s="222">
        <f>SUM(F13:F14)</f>
        <v>1.9836134583243668</v>
      </c>
      <c r="G15" s="223">
        <f>SUM(G13:G14)</f>
        <v>6787.6475485018182</v>
      </c>
      <c r="H15" s="224">
        <f>G15*12</f>
        <v>81451.770582021825</v>
      </c>
      <c r="I15" s="5"/>
      <c r="J15" s="208"/>
      <c r="K15" s="208"/>
      <c r="L15" s="208"/>
      <c r="M15" s="529"/>
      <c r="N15" s="529"/>
      <c r="O15" s="529"/>
      <c r="P15" s="529"/>
      <c r="Q15" s="529"/>
    </row>
    <row r="16" spans="1:17" ht="24" x14ac:dyDescent="0.2">
      <c r="B16" s="225" t="s">
        <v>177</v>
      </c>
      <c r="C16" s="272">
        <v>1200</v>
      </c>
      <c r="D16" s="217">
        <f>1/C16</f>
        <v>8.3333333333333339E-4</v>
      </c>
      <c r="E16" s="218">
        <f>'SERVENTE REAL'!I164</f>
        <v>4588.7356333118132</v>
      </c>
      <c r="F16" s="218">
        <f>D16*E16</f>
        <v>3.8239463610931779</v>
      </c>
      <c r="G16" s="219">
        <f>F16*F47</f>
        <v>13533.90215849903</v>
      </c>
      <c r="H16" s="220">
        <f>G16*12</f>
        <v>162406.82590198837</v>
      </c>
      <c r="I16" s="209"/>
      <c r="J16" s="208"/>
      <c r="K16" s="208"/>
      <c r="L16" s="546"/>
      <c r="M16" s="529"/>
      <c r="N16" s="529"/>
      <c r="O16" s="529"/>
      <c r="P16" s="529"/>
      <c r="Q16" s="529"/>
    </row>
    <row r="17" spans="2:17" x14ac:dyDescent="0.2">
      <c r="B17" s="225" t="s">
        <v>175</v>
      </c>
      <c r="C17" s="272">
        <v>1200</v>
      </c>
      <c r="D17" s="217">
        <f>(1/(30*C17))</f>
        <v>2.7777777777777779E-5</v>
      </c>
      <c r="E17" s="218">
        <f>ENCARREGADO!I144</f>
        <v>5158.1000000000004</v>
      </c>
      <c r="F17" s="218">
        <f>D17*E17</f>
        <v>0.14328055555555558</v>
      </c>
      <c r="G17" s="219">
        <f>F17*F47</f>
        <v>507.10570625000008</v>
      </c>
      <c r="H17" s="220">
        <f t="shared" ref="H17" si="3">G17*12</f>
        <v>6085.2684750000008</v>
      </c>
      <c r="I17" s="209"/>
      <c r="J17" s="208"/>
      <c r="K17" s="208"/>
      <c r="L17" s="546"/>
      <c r="M17" s="529"/>
      <c r="N17" s="529"/>
      <c r="O17" s="529"/>
      <c r="P17" s="529"/>
      <c r="Q17" s="529"/>
    </row>
    <row r="18" spans="2:17" x14ac:dyDescent="0.2">
      <c r="B18" s="520" t="s">
        <v>10</v>
      </c>
      <c r="C18" s="520"/>
      <c r="D18" s="520"/>
      <c r="E18" s="520"/>
      <c r="F18" s="222">
        <f>SUM(F16:F17)</f>
        <v>3.9672269166487335</v>
      </c>
      <c r="G18" s="223">
        <f>F18*F47</f>
        <v>14041.00786474903</v>
      </c>
      <c r="H18" s="224">
        <f>G18*12</f>
        <v>168492.09437698836</v>
      </c>
      <c r="I18" s="209"/>
      <c r="J18" s="208"/>
      <c r="K18" s="208"/>
      <c r="L18" s="546"/>
      <c r="M18" s="529"/>
      <c r="N18" s="529"/>
      <c r="O18" s="529"/>
      <c r="P18" s="529"/>
      <c r="Q18" s="529"/>
    </row>
    <row r="19" spans="2:17" x14ac:dyDescent="0.2">
      <c r="B19" s="225" t="s">
        <v>178</v>
      </c>
      <c r="C19" s="272">
        <v>250</v>
      </c>
      <c r="D19" s="217">
        <f>1/C19</f>
        <v>4.0000000000000001E-3</v>
      </c>
      <c r="E19" s="218">
        <f>'SERVENTE REAL - banherista'!I164</f>
        <v>5740.521382032638</v>
      </c>
      <c r="F19" s="218">
        <f>D19*E19</f>
        <v>22.962085528130551</v>
      </c>
      <c r="G19" s="219">
        <f>F19*F48</f>
        <v>12577.252727178227</v>
      </c>
      <c r="H19" s="220">
        <f>G19*12</f>
        <v>150927.03272613871</v>
      </c>
      <c r="I19" s="209"/>
      <c r="J19" s="208"/>
      <c r="K19" s="208"/>
      <c r="L19" s="546"/>
      <c r="M19" s="529"/>
      <c r="N19" s="529"/>
      <c r="O19" s="529"/>
      <c r="P19" s="529"/>
      <c r="Q19" s="529"/>
    </row>
    <row r="20" spans="2:17" x14ac:dyDescent="0.2">
      <c r="B20" s="225" t="s">
        <v>175</v>
      </c>
      <c r="C20" s="272">
        <v>250</v>
      </c>
      <c r="D20" s="217">
        <f>(1/(30*C20))</f>
        <v>1.3333333333333334E-4</v>
      </c>
      <c r="E20" s="218">
        <f>ENCARREGADO!I144</f>
        <v>5158.1000000000004</v>
      </c>
      <c r="F20" s="218">
        <f>E20*D20</f>
        <v>0.68774666666666673</v>
      </c>
      <c r="G20" s="219">
        <f>F20*F48</f>
        <v>376.70635920000007</v>
      </c>
      <c r="H20" s="220">
        <f t="shared" ref="H20" si="4">G20*12</f>
        <v>4520.4763104000012</v>
      </c>
      <c r="I20" s="209"/>
      <c r="J20" s="208"/>
      <c r="K20" s="208"/>
      <c r="L20" s="546"/>
      <c r="M20" s="529"/>
      <c r="N20" s="529"/>
      <c r="O20" s="529"/>
      <c r="P20" s="529"/>
      <c r="Q20" s="529"/>
    </row>
    <row r="21" spans="2:17" x14ac:dyDescent="0.2">
      <c r="B21" s="520" t="s">
        <v>10</v>
      </c>
      <c r="C21" s="520"/>
      <c r="D21" s="520"/>
      <c r="E21" s="520"/>
      <c r="F21" s="222">
        <f>SUM(F19:F20)</f>
        <v>23.649832194797217</v>
      </c>
      <c r="G21" s="223">
        <f>F21*F48</f>
        <v>12953.959086378227</v>
      </c>
      <c r="H21" s="224">
        <f>G21*12</f>
        <v>155447.50903653872</v>
      </c>
      <c r="I21" s="209"/>
      <c r="J21" s="208"/>
      <c r="K21" s="208"/>
      <c r="L21" s="546"/>
      <c r="M21" s="529"/>
      <c r="N21" s="529"/>
      <c r="O21" s="529"/>
      <c r="P21" s="529"/>
      <c r="Q21" s="529"/>
    </row>
    <row r="22" spans="2:17" s="228" customFormat="1" x14ac:dyDescent="0.2">
      <c r="B22" s="530" t="s">
        <v>31</v>
      </c>
      <c r="C22" s="531"/>
      <c r="D22" s="531"/>
      <c r="E22" s="531"/>
      <c r="F22" s="532"/>
      <c r="G22" s="223">
        <f>SUM(G9,G12,G15,G18,G21)</f>
        <v>95405.232817780518</v>
      </c>
      <c r="H22" s="224">
        <f>SUM(H9,H12,H15,H18,H21)</f>
        <v>1144862.7938133662</v>
      </c>
      <c r="I22" s="226"/>
      <c r="J22" s="227"/>
      <c r="K22" s="227"/>
      <c r="L22" s="546"/>
      <c r="M22" s="529"/>
      <c r="N22" s="529"/>
      <c r="O22" s="529"/>
      <c r="P22" s="529"/>
      <c r="Q22" s="529"/>
    </row>
    <row r="23" spans="2:17" s="228" customFormat="1" ht="15.75" x14ac:dyDescent="0.2">
      <c r="B23" s="229"/>
      <c r="C23" s="230"/>
      <c r="D23" s="231"/>
      <c r="E23" s="230"/>
      <c r="F23" s="230"/>
      <c r="G23" s="232"/>
      <c r="H23" s="233"/>
      <c r="I23" s="234"/>
      <c r="L23" s="44"/>
      <c r="M23" s="44"/>
      <c r="N23" s="44"/>
      <c r="O23" s="44"/>
      <c r="P23" s="44"/>
      <c r="Q23" s="235"/>
    </row>
    <row r="24" spans="2:17" ht="12" customHeight="1" x14ac:dyDescent="0.2">
      <c r="B24" s="536" t="s">
        <v>223</v>
      </c>
      <c r="C24" s="537"/>
      <c r="D24" s="537"/>
      <c r="E24" s="537"/>
      <c r="F24" s="537"/>
      <c r="G24" s="537"/>
      <c r="H24" s="538"/>
      <c r="L24" s="548"/>
      <c r="M24" s="44"/>
      <c r="N24" s="1"/>
      <c r="O24" s="2"/>
      <c r="P24" s="2"/>
      <c r="Q24" s="237"/>
    </row>
    <row r="25" spans="2:17" s="242" customFormat="1" ht="24" x14ac:dyDescent="0.2">
      <c r="B25" s="238" t="s">
        <v>11</v>
      </c>
      <c r="C25" s="239" t="s">
        <v>6</v>
      </c>
      <c r="D25" s="239" t="s">
        <v>7</v>
      </c>
      <c r="E25" s="239" t="s">
        <v>8</v>
      </c>
      <c r="F25" s="240" t="s">
        <v>9</v>
      </c>
      <c r="G25" s="212" t="s">
        <v>142</v>
      </c>
      <c r="H25" s="212" t="s">
        <v>143</v>
      </c>
      <c r="I25" s="241"/>
      <c r="L25" s="548"/>
      <c r="M25" s="44"/>
      <c r="N25" s="1"/>
      <c r="O25" s="2"/>
      <c r="P25" s="2"/>
      <c r="Q25" s="237"/>
    </row>
    <row r="26" spans="2:17" ht="12" customHeight="1" x14ac:dyDescent="0.25">
      <c r="B26" s="243" t="s">
        <v>168</v>
      </c>
      <c r="C26" s="273">
        <v>2500</v>
      </c>
      <c r="D26" s="244">
        <f>1/C26</f>
        <v>4.0000000000000002E-4</v>
      </c>
      <c r="E26" s="245">
        <f>'SERVENTE REAL'!I164</f>
        <v>4588.7356333118132</v>
      </c>
      <c r="F26" s="246">
        <f>D26*E26</f>
        <v>1.8354942533247254</v>
      </c>
      <c r="G26" s="247">
        <f>F26*F50</f>
        <v>10897.806610494759</v>
      </c>
      <c r="H26" s="220">
        <f>G26*12</f>
        <v>130773.67932593712</v>
      </c>
      <c r="L26" s="548"/>
      <c r="M26" s="549"/>
      <c r="N26" s="549"/>
      <c r="O26" s="549"/>
      <c r="P26" s="3"/>
      <c r="Q26" s="237"/>
    </row>
    <row r="27" spans="2:17" ht="12" customHeight="1" x14ac:dyDescent="0.25">
      <c r="B27" s="243" t="s">
        <v>175</v>
      </c>
      <c r="C27" s="273">
        <v>2500</v>
      </c>
      <c r="D27" s="244">
        <f>(1/(30*C27))</f>
        <v>1.3333333333333333E-5</v>
      </c>
      <c r="E27" s="245">
        <f>ENCARREGADO!I144</f>
        <v>5158.1000000000004</v>
      </c>
      <c r="F27" s="246">
        <f>E27*D27</f>
        <v>6.8774666666666665E-2</v>
      </c>
      <c r="G27" s="247">
        <f>F27*F50</f>
        <v>408.33307741333334</v>
      </c>
      <c r="H27" s="220">
        <f>G27*12</f>
        <v>4899.9969289600003</v>
      </c>
      <c r="L27" s="44"/>
      <c r="M27" s="45"/>
      <c r="N27" s="45"/>
      <c r="O27" s="45"/>
      <c r="P27" s="3"/>
      <c r="Q27" s="237"/>
    </row>
    <row r="28" spans="2:17" s="228" customFormat="1" x14ac:dyDescent="0.2">
      <c r="B28" s="229" t="s">
        <v>10</v>
      </c>
      <c r="C28" s="230"/>
      <c r="D28" s="248"/>
      <c r="E28" s="230"/>
      <c r="F28" s="249">
        <f>SUM(F26:F27)</f>
        <v>1.904268919991392</v>
      </c>
      <c r="G28" s="219">
        <f>F28*F50</f>
        <v>11306.139687908093</v>
      </c>
      <c r="H28" s="219">
        <f>G28*12</f>
        <v>135673.67625489712</v>
      </c>
      <c r="I28" s="250"/>
    </row>
    <row r="29" spans="2:17" s="228" customFormat="1" ht="11.65" customHeight="1" x14ac:dyDescent="0.2">
      <c r="B29" s="536" t="s">
        <v>224</v>
      </c>
      <c r="C29" s="537"/>
      <c r="D29" s="537"/>
      <c r="E29" s="537"/>
      <c r="F29" s="537"/>
      <c r="G29" s="537"/>
      <c r="H29" s="538"/>
      <c r="I29" s="250"/>
    </row>
    <row r="30" spans="2:17" s="228" customFormat="1" ht="34.15" customHeight="1" x14ac:dyDescent="0.2">
      <c r="B30" s="238" t="s">
        <v>11</v>
      </c>
      <c r="C30" s="239" t="s">
        <v>6</v>
      </c>
      <c r="D30" s="239" t="s">
        <v>7</v>
      </c>
      <c r="E30" s="239" t="s">
        <v>8</v>
      </c>
      <c r="F30" s="240" t="s">
        <v>9</v>
      </c>
      <c r="G30" s="212" t="s">
        <v>142</v>
      </c>
      <c r="H30" s="212" t="s">
        <v>143</v>
      </c>
      <c r="I30" s="250"/>
    </row>
    <row r="31" spans="2:17" s="228" customFormat="1" ht="11.65" customHeight="1" x14ac:dyDescent="0.2">
      <c r="B31" s="243" t="s">
        <v>168</v>
      </c>
      <c r="C31" s="273">
        <v>2500</v>
      </c>
      <c r="D31" s="244">
        <f>1/C31</f>
        <v>4.0000000000000002E-4</v>
      </c>
      <c r="E31" s="245">
        <f>'SERVENTE REAL'!I164</f>
        <v>4588.7356333118132</v>
      </c>
      <c r="F31" s="246">
        <f>D31*E31</f>
        <v>1.8354942533247254</v>
      </c>
      <c r="G31" s="247">
        <f>F31*F51</f>
        <v>32006.008878671633</v>
      </c>
      <c r="H31" s="220">
        <f>G31*12</f>
        <v>384072.10654405958</v>
      </c>
      <c r="I31" s="250"/>
    </row>
    <row r="32" spans="2:17" s="228" customFormat="1" ht="11.65" customHeight="1" x14ac:dyDescent="0.2">
      <c r="B32" s="243" t="s">
        <v>175</v>
      </c>
      <c r="C32" s="273">
        <v>2500</v>
      </c>
      <c r="D32" s="244">
        <f>(1/(30*C32))</f>
        <v>1.3333333333333333E-5</v>
      </c>
      <c r="E32" s="245">
        <f>ENCARREGADO!I144</f>
        <v>5158.1000000000004</v>
      </c>
      <c r="F32" s="246">
        <f>E32*D32</f>
        <v>6.8774666666666665E-2</v>
      </c>
      <c r="G32" s="247">
        <f>F32*F51</f>
        <v>1199.2424318266667</v>
      </c>
      <c r="H32" s="220">
        <f>G32*12</f>
        <v>14390.90918192</v>
      </c>
      <c r="I32" s="250"/>
    </row>
    <row r="33" spans="2:14" s="228" customFormat="1" ht="11.65" customHeight="1" x14ac:dyDescent="0.2">
      <c r="B33" s="229" t="s">
        <v>10</v>
      </c>
      <c r="C33" s="230"/>
      <c r="D33" s="248"/>
      <c r="E33" s="230"/>
      <c r="F33" s="249">
        <f>SUM(F31:F32)</f>
        <v>1.904268919991392</v>
      </c>
      <c r="G33" s="219">
        <f>F33*F51</f>
        <v>33205.251310498301</v>
      </c>
      <c r="H33" s="219">
        <f>G33*12</f>
        <v>398463.01572597958</v>
      </c>
      <c r="I33" s="250"/>
    </row>
    <row r="34" spans="2:14" s="228" customFormat="1" ht="11.65" customHeight="1" x14ac:dyDescent="0.2">
      <c r="B34" s="520" t="s">
        <v>219</v>
      </c>
      <c r="C34" s="520"/>
      <c r="D34" s="520"/>
      <c r="E34" s="520"/>
      <c r="F34" s="520"/>
      <c r="G34" s="223">
        <f>SUM(G28,G33)</f>
        <v>44511.390998406394</v>
      </c>
      <c r="H34" s="223">
        <f>G34*12</f>
        <v>534136.69198087673</v>
      </c>
      <c r="I34" s="250"/>
    </row>
    <row r="35" spans="2:14" s="228" customFormat="1" x14ac:dyDescent="0.2">
      <c r="B35" s="251"/>
      <c r="C35" s="252"/>
      <c r="D35" s="253"/>
      <c r="E35" s="252"/>
      <c r="F35" s="252"/>
      <c r="G35" s="254"/>
      <c r="H35" s="254"/>
      <c r="I35" s="250"/>
    </row>
    <row r="36" spans="2:14" x14ac:dyDescent="0.2">
      <c r="B36" s="533" t="s">
        <v>222</v>
      </c>
      <c r="C36" s="534"/>
      <c r="D36" s="534"/>
      <c r="E36" s="534"/>
      <c r="F36" s="534"/>
      <c r="G36" s="534"/>
      <c r="H36" s="534"/>
      <c r="I36" s="534"/>
      <c r="J36" s="534"/>
      <c r="K36" s="535"/>
    </row>
    <row r="37" spans="2:14" s="242" customFormat="1" ht="24" x14ac:dyDescent="0.2">
      <c r="B37" s="238" t="s">
        <v>11</v>
      </c>
      <c r="C37" s="239" t="s">
        <v>6</v>
      </c>
      <c r="D37" s="239" t="s">
        <v>7</v>
      </c>
      <c r="E37" s="239" t="s">
        <v>13</v>
      </c>
      <c r="F37" s="239" t="s">
        <v>14</v>
      </c>
      <c r="G37" s="239" t="s">
        <v>15</v>
      </c>
      <c r="H37" s="239" t="s">
        <v>16</v>
      </c>
      <c r="I37" s="240" t="s">
        <v>17</v>
      </c>
      <c r="J37" s="212" t="s">
        <v>142</v>
      </c>
      <c r="K37" s="212" t="s">
        <v>143</v>
      </c>
    </row>
    <row r="38" spans="2:14" x14ac:dyDescent="0.2">
      <c r="B38" s="243" t="s">
        <v>168</v>
      </c>
      <c r="C38" s="256">
        <v>300</v>
      </c>
      <c r="D38" s="244">
        <f>1/C38</f>
        <v>3.3333333333333335E-3</v>
      </c>
      <c r="E38" s="255">
        <v>16</v>
      </c>
      <c r="F38" s="256">
        <f>1/188.76</f>
        <v>5.2977325704598437E-3</v>
      </c>
      <c r="G38" s="244">
        <f>D38*E38*F38</f>
        <v>2.8254573709119167E-4</v>
      </c>
      <c r="H38" s="245">
        <f>'SERVENTE REAL'!I164</f>
        <v>4588.7356333118132</v>
      </c>
      <c r="I38" s="246">
        <f>G38*H38</f>
        <v>1.2965276918307025</v>
      </c>
      <c r="J38" s="219">
        <f>I38*F53</f>
        <v>511.813735642474</v>
      </c>
      <c r="K38" s="219">
        <f>J38*12</f>
        <v>6141.7648277096878</v>
      </c>
    </row>
    <row r="39" spans="2:14" x14ac:dyDescent="0.2">
      <c r="B39" s="243" t="s">
        <v>175</v>
      </c>
      <c r="C39" s="256">
        <v>300</v>
      </c>
      <c r="D39" s="244">
        <f>(1/(30*C39))</f>
        <v>1.1111111111111112E-4</v>
      </c>
      <c r="E39" s="255">
        <v>16</v>
      </c>
      <c r="F39" s="256">
        <f>1/188.76</f>
        <v>5.2977325704598437E-3</v>
      </c>
      <c r="G39" s="244">
        <f>(D39*E39*F39)</f>
        <v>9.418191236373056E-6</v>
      </c>
      <c r="H39" s="245">
        <f>ENCARREGADO!I144</f>
        <v>5158.1000000000004</v>
      </c>
      <c r="I39" s="246">
        <f>G39*H39</f>
        <v>4.8579972216335865E-2</v>
      </c>
      <c r="J39" s="219">
        <f>I39*F53</f>
        <v>19.177297341287428</v>
      </c>
      <c r="K39" s="219">
        <f>J39*12</f>
        <v>230.12756809544913</v>
      </c>
    </row>
    <row r="40" spans="2:14" s="228" customFormat="1" x14ac:dyDescent="0.2">
      <c r="B40" s="229" t="s">
        <v>10</v>
      </c>
      <c r="C40" s="230"/>
      <c r="D40" s="248"/>
      <c r="E40" s="230"/>
      <c r="F40" s="248"/>
      <c r="G40" s="248"/>
      <c r="H40" s="230"/>
      <c r="I40" s="249">
        <f>SUM(I38:I39)</f>
        <v>1.3451076640470383</v>
      </c>
      <c r="J40" s="220">
        <f>I40*F53</f>
        <v>530.99103298376144</v>
      </c>
      <c r="K40" s="257">
        <f>SUM(K38:K39)</f>
        <v>6371.8923958051373</v>
      </c>
      <c r="L40" s="258"/>
    </row>
    <row r="41" spans="2:14" ht="13.5" customHeight="1" x14ac:dyDescent="0.2"/>
    <row r="42" spans="2:14" x14ac:dyDescent="0.2">
      <c r="B42" s="547" t="s">
        <v>18</v>
      </c>
      <c r="C42" s="547"/>
      <c r="D42" s="547"/>
      <c r="E42" s="547"/>
      <c r="F42" s="547"/>
      <c r="G42" s="547"/>
      <c r="H42" s="547"/>
      <c r="I42" s="206"/>
    </row>
    <row r="43" spans="2:14" s="228" customFormat="1" ht="24" x14ac:dyDescent="0.2">
      <c r="B43" s="539" t="s">
        <v>19</v>
      </c>
      <c r="C43" s="539"/>
      <c r="D43" s="539"/>
      <c r="E43" s="259" t="s">
        <v>20</v>
      </c>
      <c r="F43" s="311" t="s">
        <v>21</v>
      </c>
      <c r="G43" s="540" t="s">
        <v>22</v>
      </c>
      <c r="H43" s="540"/>
      <c r="I43" s="227"/>
      <c r="J43" s="260"/>
      <c r="K43" s="261"/>
      <c r="L43" s="227"/>
      <c r="M43" s="227"/>
      <c r="N43" s="227"/>
    </row>
    <row r="44" spans="2:14" s="228" customFormat="1" x14ac:dyDescent="0.2">
      <c r="B44" s="550" t="s">
        <v>25</v>
      </c>
      <c r="C44" s="551"/>
      <c r="D44" s="552"/>
      <c r="E44" s="217">
        <f>D7</f>
        <v>8.3333333333333339E-4</v>
      </c>
      <c r="F44" s="218">
        <v>9019.14</v>
      </c>
      <c r="G44" s="542">
        <f>E44*F44</f>
        <v>7.5159500000000001</v>
      </c>
      <c r="H44" s="542"/>
      <c r="I44" s="262">
        <f>9019.14/1100</f>
        <v>8.199218181818182</v>
      </c>
      <c r="J44" s="260"/>
      <c r="K44" s="261"/>
      <c r="L44" s="227"/>
      <c r="M44" s="227"/>
      <c r="N44" s="227"/>
    </row>
    <row r="45" spans="2:14" ht="12.75" x14ac:dyDescent="0.2">
      <c r="B45" s="541" t="s">
        <v>23</v>
      </c>
      <c r="C45" s="541"/>
      <c r="D45" s="541"/>
      <c r="E45" s="217">
        <f>D10</f>
        <v>2.5000000000000001E-3</v>
      </c>
      <c r="F45" s="218">
        <v>2171.2600000000002</v>
      </c>
      <c r="G45" s="542">
        <f>E45*F45</f>
        <v>5.4281500000000005</v>
      </c>
      <c r="H45" s="542"/>
      <c r="I45" s="208"/>
      <c r="J45" s="208"/>
      <c r="K45" s="208"/>
      <c r="L45" s="6"/>
      <c r="M45" s="6"/>
      <c r="N45" s="263"/>
    </row>
    <row r="46" spans="2:14" ht="12.75" x14ac:dyDescent="0.2">
      <c r="B46" s="550" t="s">
        <v>24</v>
      </c>
      <c r="C46" s="551"/>
      <c r="D46" s="552"/>
      <c r="E46" s="217">
        <f>D13</f>
        <v>4.1666666666666669E-4</v>
      </c>
      <c r="F46" s="218">
        <v>3421.86</v>
      </c>
      <c r="G46" s="542">
        <f>E46*F46</f>
        <v>1.4257750000000002</v>
      </c>
      <c r="H46" s="542"/>
      <c r="I46" s="208"/>
      <c r="J46" s="208"/>
      <c r="K46" s="208"/>
      <c r="L46" s="6"/>
      <c r="M46" s="6"/>
      <c r="N46" s="208"/>
    </row>
    <row r="47" spans="2:14" x14ac:dyDescent="0.2">
      <c r="B47" s="550" t="s">
        <v>169</v>
      </c>
      <c r="C47" s="551"/>
      <c r="D47" s="552"/>
      <c r="E47" s="217">
        <f>D16</f>
        <v>8.3333333333333339E-4</v>
      </c>
      <c r="F47" s="218">
        <v>3539.25</v>
      </c>
      <c r="G47" s="542">
        <f>E47*F47</f>
        <v>2.9493750000000003</v>
      </c>
      <c r="H47" s="542"/>
      <c r="I47" s="208"/>
      <c r="J47" s="208"/>
      <c r="K47" s="208" t="s">
        <v>199</v>
      </c>
      <c r="L47" s="263"/>
      <c r="M47" s="263"/>
      <c r="N47" s="208"/>
    </row>
    <row r="48" spans="2:14" x14ac:dyDescent="0.2">
      <c r="B48" s="550" t="s">
        <v>26</v>
      </c>
      <c r="C48" s="551"/>
      <c r="D48" s="552"/>
      <c r="E48" s="217">
        <f>D19</f>
        <v>4.0000000000000001E-3</v>
      </c>
      <c r="F48" s="218">
        <v>547.74</v>
      </c>
      <c r="G48" s="542">
        <f>E48*F48</f>
        <v>2.19096</v>
      </c>
      <c r="H48" s="542"/>
      <c r="I48" s="208"/>
      <c r="J48" s="208"/>
      <c r="K48" s="208" t="s">
        <v>198</v>
      </c>
      <c r="L48" s="208"/>
      <c r="M48" s="208"/>
      <c r="N48" s="208"/>
    </row>
    <row r="49" spans="2:14" x14ac:dyDescent="0.2">
      <c r="B49" s="520" t="s">
        <v>31</v>
      </c>
      <c r="C49" s="520"/>
      <c r="D49" s="520"/>
      <c r="E49" s="520"/>
      <c r="F49" s="222">
        <f>SUM(F44:F48)</f>
        <v>18699.250000000004</v>
      </c>
      <c r="G49" s="518">
        <f>SUM(G44:H48)</f>
        <v>19.510210000000001</v>
      </c>
      <c r="H49" s="518"/>
      <c r="I49" s="208"/>
      <c r="J49" s="208"/>
      <c r="K49" s="208"/>
      <c r="L49" s="208"/>
      <c r="M49" s="208"/>
      <c r="N49" s="208"/>
    </row>
    <row r="50" spans="2:14" x14ac:dyDescent="0.2">
      <c r="B50" s="517" t="s">
        <v>27</v>
      </c>
      <c r="C50" s="517"/>
      <c r="D50" s="517"/>
      <c r="E50" s="217">
        <f>D26</f>
        <v>4.0000000000000002E-4</v>
      </c>
      <c r="F50" s="218">
        <v>5937.26</v>
      </c>
      <c r="G50" s="542">
        <f>E50*F50</f>
        <v>2.3749040000000003</v>
      </c>
      <c r="H50" s="542"/>
      <c r="I50" s="208"/>
      <c r="J50" s="208"/>
      <c r="K50" s="208"/>
      <c r="L50" s="208"/>
      <c r="M50" s="208"/>
      <c r="N50" s="208"/>
    </row>
    <row r="51" spans="2:14" x14ac:dyDescent="0.2">
      <c r="B51" s="264" t="s">
        <v>218</v>
      </c>
      <c r="C51" s="184"/>
      <c r="D51" s="184"/>
      <c r="E51" s="217">
        <f>D26</f>
        <v>4.0000000000000002E-4</v>
      </c>
      <c r="F51" s="218">
        <v>17437.27</v>
      </c>
      <c r="G51" s="542">
        <f>E51*F51</f>
        <v>6.9749080000000001</v>
      </c>
      <c r="H51" s="542"/>
      <c r="I51" s="208"/>
      <c r="J51" s="208"/>
      <c r="K51" s="208"/>
      <c r="L51" s="208"/>
      <c r="M51" s="208"/>
      <c r="N51" s="208"/>
    </row>
    <row r="52" spans="2:14" x14ac:dyDescent="0.2">
      <c r="B52" s="520" t="s">
        <v>219</v>
      </c>
      <c r="C52" s="520"/>
      <c r="D52" s="520"/>
      <c r="E52" s="520"/>
      <c r="F52" s="222">
        <f>F50+F51</f>
        <v>23374.53</v>
      </c>
      <c r="G52" s="518">
        <f>SUM(G50:H51)</f>
        <v>9.349812</v>
      </c>
      <c r="H52" s="518"/>
      <c r="I52" s="208"/>
      <c r="J52" s="208"/>
      <c r="K52" s="208"/>
      <c r="L52" s="208"/>
      <c r="M52" s="208"/>
      <c r="N52" s="208"/>
    </row>
    <row r="53" spans="2:14" ht="12.75" x14ac:dyDescent="0.2">
      <c r="B53" s="519" t="s">
        <v>221</v>
      </c>
      <c r="C53" s="519"/>
      <c r="D53" s="519"/>
      <c r="E53" s="265">
        <f>D38</f>
        <v>3.3333333333333335E-3</v>
      </c>
      <c r="F53" s="222">
        <f>(4342.33/22)*2</f>
        <v>394.75727272727272</v>
      </c>
      <c r="G53" s="518">
        <f>E53*F53</f>
        <v>1.3158575757575759</v>
      </c>
      <c r="H53" s="518"/>
      <c r="I53" s="266"/>
    </row>
    <row r="54" spans="2:14" x14ac:dyDescent="0.2">
      <c r="B54" s="520" t="s">
        <v>230</v>
      </c>
      <c r="C54" s="520"/>
      <c r="D54" s="520"/>
      <c r="E54" s="520"/>
      <c r="F54" s="520"/>
      <c r="G54" s="518">
        <f>SUM(G49,G52,G53)</f>
        <v>30.175879575757577</v>
      </c>
      <c r="H54" s="518"/>
      <c r="I54" s="206"/>
    </row>
    <row r="55" spans="2:14" x14ac:dyDescent="0.2">
      <c r="B55" s="520" t="s">
        <v>231</v>
      </c>
      <c r="C55" s="520"/>
      <c r="D55" s="520"/>
      <c r="E55" s="520"/>
      <c r="F55" s="520"/>
      <c r="G55" s="518">
        <v>1</v>
      </c>
      <c r="H55" s="518"/>
      <c r="I55" s="206"/>
    </row>
    <row r="56" spans="2:14" x14ac:dyDescent="0.2">
      <c r="B56" s="530" t="s">
        <v>220</v>
      </c>
      <c r="C56" s="531"/>
      <c r="D56" s="531"/>
      <c r="E56" s="531"/>
      <c r="F56" s="532"/>
      <c r="G56" s="553">
        <f>G54+G55</f>
        <v>31.175879575757577</v>
      </c>
      <c r="H56" s="554"/>
      <c r="I56" s="206"/>
    </row>
    <row r="57" spans="2:14" ht="14.65" customHeight="1" x14ac:dyDescent="0.2"/>
    <row r="58" spans="2:14" x14ac:dyDescent="0.2">
      <c r="B58" s="533" t="s">
        <v>158</v>
      </c>
      <c r="C58" s="534"/>
      <c r="D58" s="534"/>
      <c r="E58" s="534"/>
      <c r="F58" s="534"/>
      <c r="G58" s="535"/>
      <c r="H58" s="206"/>
      <c r="I58" s="206"/>
    </row>
    <row r="59" spans="2:14" x14ac:dyDescent="0.2">
      <c r="B59" s="342" t="s">
        <v>28</v>
      </c>
      <c r="C59" s="343"/>
      <c r="D59" s="267" t="s">
        <v>144</v>
      </c>
      <c r="E59" s="521" t="s">
        <v>146</v>
      </c>
      <c r="F59" s="522"/>
      <c r="G59" s="268" t="s">
        <v>145</v>
      </c>
      <c r="I59" s="206"/>
    </row>
    <row r="60" spans="2:14" x14ac:dyDescent="0.2">
      <c r="B60" s="527" t="s">
        <v>1</v>
      </c>
      <c r="C60" s="528"/>
      <c r="D60" s="274">
        <f>G22</f>
        <v>95405.232817780518</v>
      </c>
      <c r="E60" s="523">
        <v>12</v>
      </c>
      <c r="F60" s="524"/>
      <c r="G60" s="274">
        <f>D60*E60</f>
        <v>1144862.7938133662</v>
      </c>
      <c r="I60" s="269"/>
    </row>
    <row r="61" spans="2:14" x14ac:dyDescent="0.2">
      <c r="B61" s="527" t="s">
        <v>30</v>
      </c>
      <c r="C61" s="528"/>
      <c r="D61" s="274">
        <f>G34</f>
        <v>44511.390998406394</v>
      </c>
      <c r="E61" s="341">
        <v>12</v>
      </c>
      <c r="F61" s="341"/>
      <c r="G61" s="274">
        <f>D61*E61</f>
        <v>534136.69198087673</v>
      </c>
    </row>
    <row r="62" spans="2:14" x14ac:dyDescent="0.2">
      <c r="B62" s="183" t="s">
        <v>2</v>
      </c>
      <c r="C62" s="184"/>
      <c r="D62" s="274">
        <f>J40</f>
        <v>530.99103298376144</v>
      </c>
      <c r="E62" s="341">
        <v>12</v>
      </c>
      <c r="F62" s="341"/>
      <c r="G62" s="274">
        <f>D62*E62</f>
        <v>6371.8923958051373</v>
      </c>
      <c r="I62" s="206"/>
    </row>
    <row r="63" spans="2:14" ht="13.15" customHeight="1" x14ac:dyDescent="0.2">
      <c r="B63" s="525" t="s">
        <v>147</v>
      </c>
      <c r="C63" s="525"/>
      <c r="D63" s="219">
        <f>SUM(D60:D62)</f>
        <v>140447.61484917067</v>
      </c>
      <c r="E63" s="526"/>
      <c r="F63" s="526"/>
      <c r="G63" s="275">
        <f>SUM(G60:G62)</f>
        <v>1685371.378190048</v>
      </c>
      <c r="H63" s="11"/>
      <c r="I63" s="206"/>
    </row>
    <row r="64" spans="2:14" ht="12.75" customHeight="1" x14ac:dyDescent="0.2">
      <c r="B64" s="516"/>
      <c r="C64" s="516"/>
      <c r="D64" s="516"/>
      <c r="E64" s="516"/>
      <c r="F64" s="516"/>
      <c r="G64" s="516"/>
      <c r="H64" s="270"/>
    </row>
  </sheetData>
  <mergeCells count="58">
    <mergeCell ref="B58:G58"/>
    <mergeCell ref="B44:D44"/>
    <mergeCell ref="B46:D46"/>
    <mergeCell ref="B47:D47"/>
    <mergeCell ref="B48:D48"/>
    <mergeCell ref="G50:H50"/>
    <mergeCell ref="G51:H51"/>
    <mergeCell ref="B52:E52"/>
    <mergeCell ref="G44:H44"/>
    <mergeCell ref="B55:F55"/>
    <mergeCell ref="G55:H55"/>
    <mergeCell ref="G56:H56"/>
    <mergeCell ref="B56:F56"/>
    <mergeCell ref="B29:H29"/>
    <mergeCell ref="B34:F34"/>
    <mergeCell ref="B42:H42"/>
    <mergeCell ref="L24:L26"/>
    <mergeCell ref="M26:O26"/>
    <mergeCell ref="A1:I1"/>
    <mergeCell ref="B3:C3"/>
    <mergeCell ref="B15:E15"/>
    <mergeCell ref="B18:E18"/>
    <mergeCell ref="I7:L7"/>
    <mergeCell ref="L16:L22"/>
    <mergeCell ref="B12:E12"/>
    <mergeCell ref="B21:E21"/>
    <mergeCell ref="M6:Q22"/>
    <mergeCell ref="B22:F22"/>
    <mergeCell ref="B4:H4"/>
    <mergeCell ref="B49:E49"/>
    <mergeCell ref="G49:H49"/>
    <mergeCell ref="B5:H5"/>
    <mergeCell ref="B24:H24"/>
    <mergeCell ref="B36:K36"/>
    <mergeCell ref="B43:D43"/>
    <mergeCell ref="G43:H43"/>
    <mergeCell ref="B45:D45"/>
    <mergeCell ref="G45:H45"/>
    <mergeCell ref="G46:H46"/>
    <mergeCell ref="G47:H47"/>
    <mergeCell ref="G48:H48"/>
    <mergeCell ref="B9:E9"/>
    <mergeCell ref="B64:G64"/>
    <mergeCell ref="B50:D50"/>
    <mergeCell ref="G52:H52"/>
    <mergeCell ref="B53:D53"/>
    <mergeCell ref="G53:H53"/>
    <mergeCell ref="B54:F54"/>
    <mergeCell ref="B59:C59"/>
    <mergeCell ref="E59:F59"/>
    <mergeCell ref="E60:F60"/>
    <mergeCell ref="E61:F61"/>
    <mergeCell ref="E62:F62"/>
    <mergeCell ref="B63:C63"/>
    <mergeCell ref="E63:F63"/>
    <mergeCell ref="G54:H54"/>
    <mergeCell ref="B60:C60"/>
    <mergeCell ref="B61:C61"/>
  </mergeCells>
  <printOptions horizontalCentered="1"/>
  <pageMargins left="0.19685039370078741" right="0.19685039370078741" top="1.2598425196850394" bottom="0.98425196850393704" header="0.51181102362204722" footer="0.51181102362204722"/>
  <pageSetup paperSize="9" scale="85" orientation="landscape" r:id="rId1"/>
  <headerFooter>
    <oddHeader>&amp;CMINISTERIO DA EDUCAÇAO
SECRETARIA DE EDUCAÇAO PROFISSIONAL E TECNOLOGICA
INSTITUTO FEDERAL DE EDUCAÇÃO, CIÊNCIA E TECNOLOGIA DE RORAIMA
CAMPUS BOA VISTA</oddHeader>
    <oddFooter>&amp;L&amp;D&amp;C&amp;Z&amp;F&amp;RPágina &amp;P</oddFooter>
  </headerFooter>
  <rowBreaks count="1" manualBreakCount="1">
    <brk id="34"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7"/>
  <sheetViews>
    <sheetView view="pageBreakPreview" zoomScale="80" zoomScaleNormal="100" zoomScaleSheetLayoutView="80" zoomScalePageLayoutView="80" workbookViewId="0">
      <selection activeCell="C13" sqref="C13"/>
    </sheetView>
  </sheetViews>
  <sheetFormatPr defaultRowHeight="14.25" x14ac:dyDescent="0.2"/>
  <cols>
    <col min="1" max="1" width="24.7109375" style="49" customWidth="1"/>
    <col min="2" max="2" width="13" style="49" customWidth="1"/>
    <col min="3" max="3" width="21.5703125" style="49" customWidth="1"/>
    <col min="4" max="4" width="21.7109375" style="49" customWidth="1"/>
    <col min="5" max="5" width="21.5703125" style="49" customWidth="1"/>
    <col min="6" max="6" width="17.7109375" style="49" customWidth="1"/>
    <col min="7" max="12" width="9.28515625" style="49" customWidth="1"/>
    <col min="13" max="255" width="9.28515625" style="49"/>
    <col min="256" max="256" width="59.5703125" style="49" customWidth="1"/>
    <col min="257" max="257" width="14" style="49" customWidth="1"/>
    <col min="258" max="258" width="13" style="49" customWidth="1"/>
    <col min="259" max="259" width="18.5703125" style="49" customWidth="1"/>
    <col min="260" max="260" width="21.7109375" style="49" customWidth="1"/>
    <col min="261" max="261" width="25.28515625" style="49" bestFit="1" customWidth="1"/>
    <col min="262" max="262" width="21.28515625" style="49" customWidth="1"/>
    <col min="263" max="268" width="9.28515625" style="49" customWidth="1"/>
    <col min="269" max="511" width="9.28515625" style="49"/>
    <col min="512" max="512" width="59.5703125" style="49" customWidth="1"/>
    <col min="513" max="513" width="14" style="49" customWidth="1"/>
    <col min="514" max="514" width="13" style="49" customWidth="1"/>
    <col min="515" max="515" width="18.5703125" style="49" customWidth="1"/>
    <col min="516" max="516" width="21.7109375" style="49" customWidth="1"/>
    <col min="517" max="517" width="25.28515625" style="49" bestFit="1" customWidth="1"/>
    <col min="518" max="518" width="21.28515625" style="49" customWidth="1"/>
    <col min="519" max="524" width="9.28515625" style="49" customWidth="1"/>
    <col min="525" max="767" width="9.28515625" style="49"/>
    <col min="768" max="768" width="59.5703125" style="49" customWidth="1"/>
    <col min="769" max="769" width="14" style="49" customWidth="1"/>
    <col min="770" max="770" width="13" style="49" customWidth="1"/>
    <col min="771" max="771" width="18.5703125" style="49" customWidth="1"/>
    <col min="772" max="772" width="21.7109375" style="49" customWidth="1"/>
    <col min="773" max="773" width="25.28515625" style="49" bestFit="1" customWidth="1"/>
    <col min="774" max="774" width="21.28515625" style="49" customWidth="1"/>
    <col min="775" max="780" width="9.28515625" style="49" customWidth="1"/>
    <col min="781" max="1023" width="9.28515625" style="49"/>
    <col min="1024" max="1024" width="59.5703125" style="49" customWidth="1"/>
    <col min="1025" max="1025" width="14" style="49" customWidth="1"/>
    <col min="1026" max="1026" width="13" style="49" customWidth="1"/>
    <col min="1027" max="1027" width="18.5703125" style="49" customWidth="1"/>
    <col min="1028" max="1028" width="21.7109375" style="49" customWidth="1"/>
    <col min="1029" max="1029" width="25.28515625" style="49" bestFit="1" customWidth="1"/>
    <col min="1030" max="1030" width="21.28515625" style="49" customWidth="1"/>
    <col min="1031" max="1036" width="9.28515625" style="49" customWidth="1"/>
    <col min="1037" max="1279" width="9.28515625" style="49"/>
    <col min="1280" max="1280" width="59.5703125" style="49" customWidth="1"/>
    <col min="1281" max="1281" width="14" style="49" customWidth="1"/>
    <col min="1282" max="1282" width="13" style="49" customWidth="1"/>
    <col min="1283" max="1283" width="18.5703125" style="49" customWidth="1"/>
    <col min="1284" max="1284" width="21.7109375" style="49" customWidth="1"/>
    <col min="1285" max="1285" width="25.28515625" style="49" bestFit="1" customWidth="1"/>
    <col min="1286" max="1286" width="21.28515625" style="49" customWidth="1"/>
    <col min="1287" max="1292" width="9.28515625" style="49" customWidth="1"/>
    <col min="1293" max="1535" width="9.28515625" style="49"/>
    <col min="1536" max="1536" width="59.5703125" style="49" customWidth="1"/>
    <col min="1537" max="1537" width="14" style="49" customWidth="1"/>
    <col min="1538" max="1538" width="13" style="49" customWidth="1"/>
    <col min="1539" max="1539" width="18.5703125" style="49" customWidth="1"/>
    <col min="1540" max="1540" width="21.7109375" style="49" customWidth="1"/>
    <col min="1541" max="1541" width="25.28515625" style="49" bestFit="1" customWidth="1"/>
    <col min="1542" max="1542" width="21.28515625" style="49" customWidth="1"/>
    <col min="1543" max="1548" width="9.28515625" style="49" customWidth="1"/>
    <col min="1549" max="1791" width="9.28515625" style="49"/>
    <col min="1792" max="1792" width="59.5703125" style="49" customWidth="1"/>
    <col min="1793" max="1793" width="14" style="49" customWidth="1"/>
    <col min="1794" max="1794" width="13" style="49" customWidth="1"/>
    <col min="1795" max="1795" width="18.5703125" style="49" customWidth="1"/>
    <col min="1796" max="1796" width="21.7109375" style="49" customWidth="1"/>
    <col min="1797" max="1797" width="25.28515625" style="49" bestFit="1" customWidth="1"/>
    <col min="1798" max="1798" width="21.28515625" style="49" customWidth="1"/>
    <col min="1799" max="1804" width="9.28515625" style="49" customWidth="1"/>
    <col min="1805" max="2047" width="9.28515625" style="49"/>
    <col min="2048" max="2048" width="59.5703125" style="49" customWidth="1"/>
    <col min="2049" max="2049" width="14" style="49" customWidth="1"/>
    <col min="2050" max="2050" width="13" style="49" customWidth="1"/>
    <col min="2051" max="2051" width="18.5703125" style="49" customWidth="1"/>
    <col min="2052" max="2052" width="21.7109375" style="49" customWidth="1"/>
    <col min="2053" max="2053" width="25.28515625" style="49" bestFit="1" customWidth="1"/>
    <col min="2054" max="2054" width="21.28515625" style="49" customWidth="1"/>
    <col min="2055" max="2060" width="9.28515625" style="49" customWidth="1"/>
    <col min="2061" max="2303" width="9.28515625" style="49"/>
    <col min="2304" max="2304" width="59.5703125" style="49" customWidth="1"/>
    <col min="2305" max="2305" width="14" style="49" customWidth="1"/>
    <col min="2306" max="2306" width="13" style="49" customWidth="1"/>
    <col min="2307" max="2307" width="18.5703125" style="49" customWidth="1"/>
    <col min="2308" max="2308" width="21.7109375" style="49" customWidth="1"/>
    <col min="2309" max="2309" width="25.28515625" style="49" bestFit="1" customWidth="1"/>
    <col min="2310" max="2310" width="21.28515625" style="49" customWidth="1"/>
    <col min="2311" max="2316" width="9.28515625" style="49" customWidth="1"/>
    <col min="2317" max="2559" width="9.28515625" style="49"/>
    <col min="2560" max="2560" width="59.5703125" style="49" customWidth="1"/>
    <col min="2561" max="2561" width="14" style="49" customWidth="1"/>
    <col min="2562" max="2562" width="13" style="49" customWidth="1"/>
    <col min="2563" max="2563" width="18.5703125" style="49" customWidth="1"/>
    <col min="2564" max="2564" width="21.7109375" style="49" customWidth="1"/>
    <col min="2565" max="2565" width="25.28515625" style="49" bestFit="1" customWidth="1"/>
    <col min="2566" max="2566" width="21.28515625" style="49" customWidth="1"/>
    <col min="2567" max="2572" width="9.28515625" style="49" customWidth="1"/>
    <col min="2573" max="2815" width="9.28515625" style="49"/>
    <col min="2816" max="2816" width="59.5703125" style="49" customWidth="1"/>
    <col min="2817" max="2817" width="14" style="49" customWidth="1"/>
    <col min="2818" max="2818" width="13" style="49" customWidth="1"/>
    <col min="2819" max="2819" width="18.5703125" style="49" customWidth="1"/>
    <col min="2820" max="2820" width="21.7109375" style="49" customWidth="1"/>
    <col min="2821" max="2821" width="25.28515625" style="49" bestFit="1" customWidth="1"/>
    <col min="2822" max="2822" width="21.28515625" style="49" customWidth="1"/>
    <col min="2823" max="2828" width="9.28515625" style="49" customWidth="1"/>
    <col min="2829" max="3071" width="9.28515625" style="49"/>
    <col min="3072" max="3072" width="59.5703125" style="49" customWidth="1"/>
    <col min="3073" max="3073" width="14" style="49" customWidth="1"/>
    <col min="3074" max="3074" width="13" style="49" customWidth="1"/>
    <col min="3075" max="3075" width="18.5703125" style="49" customWidth="1"/>
    <col min="3076" max="3076" width="21.7109375" style="49" customWidth="1"/>
    <col min="3077" max="3077" width="25.28515625" style="49" bestFit="1" customWidth="1"/>
    <col min="3078" max="3078" width="21.28515625" style="49" customWidth="1"/>
    <col min="3079" max="3084" width="9.28515625" style="49" customWidth="1"/>
    <col min="3085" max="3327" width="9.28515625" style="49"/>
    <col min="3328" max="3328" width="59.5703125" style="49" customWidth="1"/>
    <col min="3329" max="3329" width="14" style="49" customWidth="1"/>
    <col min="3330" max="3330" width="13" style="49" customWidth="1"/>
    <col min="3331" max="3331" width="18.5703125" style="49" customWidth="1"/>
    <col min="3332" max="3332" width="21.7109375" style="49" customWidth="1"/>
    <col min="3333" max="3333" width="25.28515625" style="49" bestFit="1" customWidth="1"/>
    <col min="3334" max="3334" width="21.28515625" style="49" customWidth="1"/>
    <col min="3335" max="3340" width="9.28515625" style="49" customWidth="1"/>
    <col min="3341" max="3583" width="9.28515625" style="49"/>
    <col min="3584" max="3584" width="59.5703125" style="49" customWidth="1"/>
    <col min="3585" max="3585" width="14" style="49" customWidth="1"/>
    <col min="3586" max="3586" width="13" style="49" customWidth="1"/>
    <col min="3587" max="3587" width="18.5703125" style="49" customWidth="1"/>
    <col min="3588" max="3588" width="21.7109375" style="49" customWidth="1"/>
    <col min="3589" max="3589" width="25.28515625" style="49" bestFit="1" customWidth="1"/>
    <col min="3590" max="3590" width="21.28515625" style="49" customWidth="1"/>
    <col min="3591" max="3596" width="9.28515625" style="49" customWidth="1"/>
    <col min="3597" max="3839" width="9.28515625" style="49"/>
    <col min="3840" max="3840" width="59.5703125" style="49" customWidth="1"/>
    <col min="3841" max="3841" width="14" style="49" customWidth="1"/>
    <col min="3842" max="3842" width="13" style="49" customWidth="1"/>
    <col min="3843" max="3843" width="18.5703125" style="49" customWidth="1"/>
    <col min="3844" max="3844" width="21.7109375" style="49" customWidth="1"/>
    <col min="3845" max="3845" width="25.28515625" style="49" bestFit="1" customWidth="1"/>
    <col min="3846" max="3846" width="21.28515625" style="49" customWidth="1"/>
    <col min="3847" max="3852" width="9.28515625" style="49" customWidth="1"/>
    <col min="3853" max="4095" width="9.28515625" style="49"/>
    <col min="4096" max="4096" width="59.5703125" style="49" customWidth="1"/>
    <col min="4097" max="4097" width="14" style="49" customWidth="1"/>
    <col min="4098" max="4098" width="13" style="49" customWidth="1"/>
    <col min="4099" max="4099" width="18.5703125" style="49" customWidth="1"/>
    <col min="4100" max="4100" width="21.7109375" style="49" customWidth="1"/>
    <col min="4101" max="4101" width="25.28515625" style="49" bestFit="1" customWidth="1"/>
    <col min="4102" max="4102" width="21.28515625" style="49" customWidth="1"/>
    <col min="4103" max="4108" width="9.28515625" style="49" customWidth="1"/>
    <col min="4109" max="4351" width="9.28515625" style="49"/>
    <col min="4352" max="4352" width="59.5703125" style="49" customWidth="1"/>
    <col min="4353" max="4353" width="14" style="49" customWidth="1"/>
    <col min="4354" max="4354" width="13" style="49" customWidth="1"/>
    <col min="4355" max="4355" width="18.5703125" style="49" customWidth="1"/>
    <col min="4356" max="4356" width="21.7109375" style="49" customWidth="1"/>
    <col min="4357" max="4357" width="25.28515625" style="49" bestFit="1" customWidth="1"/>
    <col min="4358" max="4358" width="21.28515625" style="49" customWidth="1"/>
    <col min="4359" max="4364" width="9.28515625" style="49" customWidth="1"/>
    <col min="4365" max="4607" width="9.28515625" style="49"/>
    <col min="4608" max="4608" width="59.5703125" style="49" customWidth="1"/>
    <col min="4609" max="4609" width="14" style="49" customWidth="1"/>
    <col min="4610" max="4610" width="13" style="49" customWidth="1"/>
    <col min="4611" max="4611" width="18.5703125" style="49" customWidth="1"/>
    <col min="4612" max="4612" width="21.7109375" style="49" customWidth="1"/>
    <col min="4613" max="4613" width="25.28515625" style="49" bestFit="1" customWidth="1"/>
    <col min="4614" max="4614" width="21.28515625" style="49" customWidth="1"/>
    <col min="4615" max="4620" width="9.28515625" style="49" customWidth="1"/>
    <col min="4621" max="4863" width="9.28515625" style="49"/>
    <col min="4864" max="4864" width="59.5703125" style="49" customWidth="1"/>
    <col min="4865" max="4865" width="14" style="49" customWidth="1"/>
    <col min="4866" max="4866" width="13" style="49" customWidth="1"/>
    <col min="4867" max="4867" width="18.5703125" style="49" customWidth="1"/>
    <col min="4868" max="4868" width="21.7109375" style="49" customWidth="1"/>
    <col min="4869" max="4869" width="25.28515625" style="49" bestFit="1" customWidth="1"/>
    <col min="4870" max="4870" width="21.28515625" style="49" customWidth="1"/>
    <col min="4871" max="4876" width="9.28515625" style="49" customWidth="1"/>
    <col min="4877" max="5119" width="9.28515625" style="49"/>
    <col min="5120" max="5120" width="59.5703125" style="49" customWidth="1"/>
    <col min="5121" max="5121" width="14" style="49" customWidth="1"/>
    <col min="5122" max="5122" width="13" style="49" customWidth="1"/>
    <col min="5123" max="5123" width="18.5703125" style="49" customWidth="1"/>
    <col min="5124" max="5124" width="21.7109375" style="49" customWidth="1"/>
    <col min="5125" max="5125" width="25.28515625" style="49" bestFit="1" customWidth="1"/>
    <col min="5126" max="5126" width="21.28515625" style="49" customWidth="1"/>
    <col min="5127" max="5132" width="9.28515625" style="49" customWidth="1"/>
    <col min="5133" max="5375" width="9.28515625" style="49"/>
    <col min="5376" max="5376" width="59.5703125" style="49" customWidth="1"/>
    <col min="5377" max="5377" width="14" style="49" customWidth="1"/>
    <col min="5378" max="5378" width="13" style="49" customWidth="1"/>
    <col min="5379" max="5379" width="18.5703125" style="49" customWidth="1"/>
    <col min="5380" max="5380" width="21.7109375" style="49" customWidth="1"/>
    <col min="5381" max="5381" width="25.28515625" style="49" bestFit="1" customWidth="1"/>
    <col min="5382" max="5382" width="21.28515625" style="49" customWidth="1"/>
    <col min="5383" max="5388" width="9.28515625" style="49" customWidth="1"/>
    <col min="5389" max="5631" width="9.28515625" style="49"/>
    <col min="5632" max="5632" width="59.5703125" style="49" customWidth="1"/>
    <col min="5633" max="5633" width="14" style="49" customWidth="1"/>
    <col min="5634" max="5634" width="13" style="49" customWidth="1"/>
    <col min="5635" max="5635" width="18.5703125" style="49" customWidth="1"/>
    <col min="5636" max="5636" width="21.7109375" style="49" customWidth="1"/>
    <col min="5637" max="5637" width="25.28515625" style="49" bestFit="1" customWidth="1"/>
    <col min="5638" max="5638" width="21.28515625" style="49" customWidth="1"/>
    <col min="5639" max="5644" width="9.28515625" style="49" customWidth="1"/>
    <col min="5645" max="5887" width="9.28515625" style="49"/>
    <col min="5888" max="5888" width="59.5703125" style="49" customWidth="1"/>
    <col min="5889" max="5889" width="14" style="49" customWidth="1"/>
    <col min="5890" max="5890" width="13" style="49" customWidth="1"/>
    <col min="5891" max="5891" width="18.5703125" style="49" customWidth="1"/>
    <col min="5892" max="5892" width="21.7109375" style="49" customWidth="1"/>
    <col min="5893" max="5893" width="25.28515625" style="49" bestFit="1" customWidth="1"/>
    <col min="5894" max="5894" width="21.28515625" style="49" customWidth="1"/>
    <col min="5895" max="5900" width="9.28515625" style="49" customWidth="1"/>
    <col min="5901" max="6143" width="9.28515625" style="49"/>
    <col min="6144" max="6144" width="59.5703125" style="49" customWidth="1"/>
    <col min="6145" max="6145" width="14" style="49" customWidth="1"/>
    <col min="6146" max="6146" width="13" style="49" customWidth="1"/>
    <col min="6147" max="6147" width="18.5703125" style="49" customWidth="1"/>
    <col min="6148" max="6148" width="21.7109375" style="49" customWidth="1"/>
    <col min="6149" max="6149" width="25.28515625" style="49" bestFit="1" customWidth="1"/>
    <col min="6150" max="6150" width="21.28515625" style="49" customWidth="1"/>
    <col min="6151" max="6156" width="9.28515625" style="49" customWidth="1"/>
    <col min="6157" max="6399" width="9.28515625" style="49"/>
    <col min="6400" max="6400" width="59.5703125" style="49" customWidth="1"/>
    <col min="6401" max="6401" width="14" style="49" customWidth="1"/>
    <col min="6402" max="6402" width="13" style="49" customWidth="1"/>
    <col min="6403" max="6403" width="18.5703125" style="49" customWidth="1"/>
    <col min="6404" max="6404" width="21.7109375" style="49" customWidth="1"/>
    <col min="6405" max="6405" width="25.28515625" style="49" bestFit="1" customWidth="1"/>
    <col min="6406" max="6406" width="21.28515625" style="49" customWidth="1"/>
    <col min="6407" max="6412" width="9.28515625" style="49" customWidth="1"/>
    <col min="6413" max="6655" width="9.28515625" style="49"/>
    <col min="6656" max="6656" width="59.5703125" style="49" customWidth="1"/>
    <col min="6657" max="6657" width="14" style="49" customWidth="1"/>
    <col min="6658" max="6658" width="13" style="49" customWidth="1"/>
    <col min="6659" max="6659" width="18.5703125" style="49" customWidth="1"/>
    <col min="6660" max="6660" width="21.7109375" style="49" customWidth="1"/>
    <col min="6661" max="6661" width="25.28515625" style="49" bestFit="1" customWidth="1"/>
    <col min="6662" max="6662" width="21.28515625" style="49" customWidth="1"/>
    <col min="6663" max="6668" width="9.28515625" style="49" customWidth="1"/>
    <col min="6669" max="6911" width="9.28515625" style="49"/>
    <col min="6912" max="6912" width="59.5703125" style="49" customWidth="1"/>
    <col min="6913" max="6913" width="14" style="49" customWidth="1"/>
    <col min="6914" max="6914" width="13" style="49" customWidth="1"/>
    <col min="6915" max="6915" width="18.5703125" style="49" customWidth="1"/>
    <col min="6916" max="6916" width="21.7109375" style="49" customWidth="1"/>
    <col min="6917" max="6917" width="25.28515625" style="49" bestFit="1" customWidth="1"/>
    <col min="6918" max="6918" width="21.28515625" style="49" customWidth="1"/>
    <col min="6919" max="6924" width="9.28515625" style="49" customWidth="1"/>
    <col min="6925" max="7167" width="9.28515625" style="49"/>
    <col min="7168" max="7168" width="59.5703125" style="49" customWidth="1"/>
    <col min="7169" max="7169" width="14" style="49" customWidth="1"/>
    <col min="7170" max="7170" width="13" style="49" customWidth="1"/>
    <col min="7171" max="7171" width="18.5703125" style="49" customWidth="1"/>
    <col min="7172" max="7172" width="21.7109375" style="49" customWidth="1"/>
    <col min="7173" max="7173" width="25.28515625" style="49" bestFit="1" customWidth="1"/>
    <col min="7174" max="7174" width="21.28515625" style="49" customWidth="1"/>
    <col min="7175" max="7180" width="9.28515625" style="49" customWidth="1"/>
    <col min="7181" max="7423" width="9.28515625" style="49"/>
    <col min="7424" max="7424" width="59.5703125" style="49" customWidth="1"/>
    <col min="7425" max="7425" width="14" style="49" customWidth="1"/>
    <col min="7426" max="7426" width="13" style="49" customWidth="1"/>
    <col min="7427" max="7427" width="18.5703125" style="49" customWidth="1"/>
    <col min="7428" max="7428" width="21.7109375" style="49" customWidth="1"/>
    <col min="7429" max="7429" width="25.28515625" style="49" bestFit="1" customWidth="1"/>
    <col min="7430" max="7430" width="21.28515625" style="49" customWidth="1"/>
    <col min="7431" max="7436" width="9.28515625" style="49" customWidth="1"/>
    <col min="7437" max="7679" width="9.28515625" style="49"/>
    <col min="7680" max="7680" width="59.5703125" style="49" customWidth="1"/>
    <col min="7681" max="7681" width="14" style="49" customWidth="1"/>
    <col min="7682" max="7682" width="13" style="49" customWidth="1"/>
    <col min="7683" max="7683" width="18.5703125" style="49" customWidth="1"/>
    <col min="7684" max="7684" width="21.7109375" style="49" customWidth="1"/>
    <col min="7685" max="7685" width="25.28515625" style="49" bestFit="1" customWidth="1"/>
    <col min="7686" max="7686" width="21.28515625" style="49" customWidth="1"/>
    <col min="7687" max="7692" width="9.28515625" style="49" customWidth="1"/>
    <col min="7693" max="7935" width="9.28515625" style="49"/>
    <col min="7936" max="7936" width="59.5703125" style="49" customWidth="1"/>
    <col min="7937" max="7937" width="14" style="49" customWidth="1"/>
    <col min="7938" max="7938" width="13" style="49" customWidth="1"/>
    <col min="7939" max="7939" width="18.5703125" style="49" customWidth="1"/>
    <col min="7940" max="7940" width="21.7109375" style="49" customWidth="1"/>
    <col min="7941" max="7941" width="25.28515625" style="49" bestFit="1" customWidth="1"/>
    <col min="7942" max="7942" width="21.28515625" style="49" customWidth="1"/>
    <col min="7943" max="7948" width="9.28515625" style="49" customWidth="1"/>
    <col min="7949" max="8191" width="9.28515625" style="49"/>
    <col min="8192" max="8192" width="59.5703125" style="49" customWidth="1"/>
    <col min="8193" max="8193" width="14" style="49" customWidth="1"/>
    <col min="8194" max="8194" width="13" style="49" customWidth="1"/>
    <col min="8195" max="8195" width="18.5703125" style="49" customWidth="1"/>
    <col min="8196" max="8196" width="21.7109375" style="49" customWidth="1"/>
    <col min="8197" max="8197" width="25.28515625" style="49" bestFit="1" customWidth="1"/>
    <col min="8198" max="8198" width="21.28515625" style="49" customWidth="1"/>
    <col min="8199" max="8204" width="9.28515625" style="49" customWidth="1"/>
    <col min="8205" max="8447" width="9.28515625" style="49"/>
    <col min="8448" max="8448" width="59.5703125" style="49" customWidth="1"/>
    <col min="8449" max="8449" width="14" style="49" customWidth="1"/>
    <col min="8450" max="8450" width="13" style="49" customWidth="1"/>
    <col min="8451" max="8451" width="18.5703125" style="49" customWidth="1"/>
    <col min="8452" max="8452" width="21.7109375" style="49" customWidth="1"/>
    <col min="8453" max="8453" width="25.28515625" style="49" bestFit="1" customWidth="1"/>
    <col min="8454" max="8454" width="21.28515625" style="49" customWidth="1"/>
    <col min="8455" max="8460" width="9.28515625" style="49" customWidth="1"/>
    <col min="8461" max="8703" width="9.28515625" style="49"/>
    <col min="8704" max="8704" width="59.5703125" style="49" customWidth="1"/>
    <col min="8705" max="8705" width="14" style="49" customWidth="1"/>
    <col min="8706" max="8706" width="13" style="49" customWidth="1"/>
    <col min="8707" max="8707" width="18.5703125" style="49" customWidth="1"/>
    <col min="8708" max="8708" width="21.7109375" style="49" customWidth="1"/>
    <col min="8709" max="8709" width="25.28515625" style="49" bestFit="1" customWidth="1"/>
    <col min="8710" max="8710" width="21.28515625" style="49" customWidth="1"/>
    <col min="8711" max="8716" width="9.28515625" style="49" customWidth="1"/>
    <col min="8717" max="8959" width="9.28515625" style="49"/>
    <col min="8960" max="8960" width="59.5703125" style="49" customWidth="1"/>
    <col min="8961" max="8961" width="14" style="49" customWidth="1"/>
    <col min="8962" max="8962" width="13" style="49" customWidth="1"/>
    <col min="8963" max="8963" width="18.5703125" style="49" customWidth="1"/>
    <col min="8964" max="8964" width="21.7109375" style="49" customWidth="1"/>
    <col min="8965" max="8965" width="25.28515625" style="49" bestFit="1" customWidth="1"/>
    <col min="8966" max="8966" width="21.28515625" style="49" customWidth="1"/>
    <col min="8967" max="8972" width="9.28515625" style="49" customWidth="1"/>
    <col min="8973" max="9215" width="9.28515625" style="49"/>
    <col min="9216" max="9216" width="59.5703125" style="49" customWidth="1"/>
    <col min="9217" max="9217" width="14" style="49" customWidth="1"/>
    <col min="9218" max="9218" width="13" style="49" customWidth="1"/>
    <col min="9219" max="9219" width="18.5703125" style="49" customWidth="1"/>
    <col min="9220" max="9220" width="21.7109375" style="49" customWidth="1"/>
    <col min="9221" max="9221" width="25.28515625" style="49" bestFit="1" customWidth="1"/>
    <col min="9222" max="9222" width="21.28515625" style="49" customWidth="1"/>
    <col min="9223" max="9228" width="9.28515625" style="49" customWidth="1"/>
    <col min="9229" max="9471" width="9.28515625" style="49"/>
    <col min="9472" max="9472" width="59.5703125" style="49" customWidth="1"/>
    <col min="9473" max="9473" width="14" style="49" customWidth="1"/>
    <col min="9474" max="9474" width="13" style="49" customWidth="1"/>
    <col min="9475" max="9475" width="18.5703125" style="49" customWidth="1"/>
    <col min="9476" max="9476" width="21.7109375" style="49" customWidth="1"/>
    <col min="9477" max="9477" width="25.28515625" style="49" bestFit="1" customWidth="1"/>
    <col min="9478" max="9478" width="21.28515625" style="49" customWidth="1"/>
    <col min="9479" max="9484" width="9.28515625" style="49" customWidth="1"/>
    <col min="9485" max="9727" width="9.28515625" style="49"/>
    <col min="9728" max="9728" width="59.5703125" style="49" customWidth="1"/>
    <col min="9729" max="9729" width="14" style="49" customWidth="1"/>
    <col min="9730" max="9730" width="13" style="49" customWidth="1"/>
    <col min="9731" max="9731" width="18.5703125" style="49" customWidth="1"/>
    <col min="9732" max="9732" width="21.7109375" style="49" customWidth="1"/>
    <col min="9733" max="9733" width="25.28515625" style="49" bestFit="1" customWidth="1"/>
    <col min="9734" max="9734" width="21.28515625" style="49" customWidth="1"/>
    <col min="9735" max="9740" width="9.28515625" style="49" customWidth="1"/>
    <col min="9741" max="9983" width="9.28515625" style="49"/>
    <col min="9984" max="9984" width="59.5703125" style="49" customWidth="1"/>
    <col min="9985" max="9985" width="14" style="49" customWidth="1"/>
    <col min="9986" max="9986" width="13" style="49" customWidth="1"/>
    <col min="9987" max="9987" width="18.5703125" style="49" customWidth="1"/>
    <col min="9988" max="9988" width="21.7109375" style="49" customWidth="1"/>
    <col min="9989" max="9989" width="25.28515625" style="49" bestFit="1" customWidth="1"/>
    <col min="9990" max="9990" width="21.28515625" style="49" customWidth="1"/>
    <col min="9991" max="9996" width="9.28515625" style="49" customWidth="1"/>
    <col min="9997" max="10239" width="9.28515625" style="49"/>
    <col min="10240" max="10240" width="59.5703125" style="49" customWidth="1"/>
    <col min="10241" max="10241" width="14" style="49" customWidth="1"/>
    <col min="10242" max="10242" width="13" style="49" customWidth="1"/>
    <col min="10243" max="10243" width="18.5703125" style="49" customWidth="1"/>
    <col min="10244" max="10244" width="21.7109375" style="49" customWidth="1"/>
    <col min="10245" max="10245" width="25.28515625" style="49" bestFit="1" customWidth="1"/>
    <col min="10246" max="10246" width="21.28515625" style="49" customWidth="1"/>
    <col min="10247" max="10252" width="9.28515625" style="49" customWidth="1"/>
    <col min="10253" max="10495" width="9.28515625" style="49"/>
    <col min="10496" max="10496" width="59.5703125" style="49" customWidth="1"/>
    <col min="10497" max="10497" width="14" style="49" customWidth="1"/>
    <col min="10498" max="10498" width="13" style="49" customWidth="1"/>
    <col min="10499" max="10499" width="18.5703125" style="49" customWidth="1"/>
    <col min="10500" max="10500" width="21.7109375" style="49" customWidth="1"/>
    <col min="10501" max="10501" width="25.28515625" style="49" bestFit="1" customWidth="1"/>
    <col min="10502" max="10502" width="21.28515625" style="49" customWidth="1"/>
    <col min="10503" max="10508" width="9.28515625" style="49" customWidth="1"/>
    <col min="10509" max="10751" width="9.28515625" style="49"/>
    <col min="10752" max="10752" width="59.5703125" style="49" customWidth="1"/>
    <col min="10753" max="10753" width="14" style="49" customWidth="1"/>
    <col min="10754" max="10754" width="13" style="49" customWidth="1"/>
    <col min="10755" max="10755" width="18.5703125" style="49" customWidth="1"/>
    <col min="10756" max="10756" width="21.7109375" style="49" customWidth="1"/>
    <col min="10757" max="10757" width="25.28515625" style="49" bestFit="1" customWidth="1"/>
    <col min="10758" max="10758" width="21.28515625" style="49" customWidth="1"/>
    <col min="10759" max="10764" width="9.28515625" style="49" customWidth="1"/>
    <col min="10765" max="11007" width="9.28515625" style="49"/>
    <col min="11008" max="11008" width="59.5703125" style="49" customWidth="1"/>
    <col min="11009" max="11009" width="14" style="49" customWidth="1"/>
    <col min="11010" max="11010" width="13" style="49" customWidth="1"/>
    <col min="11011" max="11011" width="18.5703125" style="49" customWidth="1"/>
    <col min="11012" max="11012" width="21.7109375" style="49" customWidth="1"/>
    <col min="11013" max="11013" width="25.28515625" style="49" bestFit="1" customWidth="1"/>
    <col min="11014" max="11014" width="21.28515625" style="49" customWidth="1"/>
    <col min="11015" max="11020" width="9.28515625" style="49" customWidth="1"/>
    <col min="11021" max="11263" width="9.28515625" style="49"/>
    <col min="11264" max="11264" width="59.5703125" style="49" customWidth="1"/>
    <col min="11265" max="11265" width="14" style="49" customWidth="1"/>
    <col min="11266" max="11266" width="13" style="49" customWidth="1"/>
    <col min="11267" max="11267" width="18.5703125" style="49" customWidth="1"/>
    <col min="11268" max="11268" width="21.7109375" style="49" customWidth="1"/>
    <col min="11269" max="11269" width="25.28515625" style="49" bestFit="1" customWidth="1"/>
    <col min="11270" max="11270" width="21.28515625" style="49" customWidth="1"/>
    <col min="11271" max="11276" width="9.28515625" style="49" customWidth="1"/>
    <col min="11277" max="11519" width="9.28515625" style="49"/>
    <col min="11520" max="11520" width="59.5703125" style="49" customWidth="1"/>
    <col min="11521" max="11521" width="14" style="49" customWidth="1"/>
    <col min="11522" max="11522" width="13" style="49" customWidth="1"/>
    <col min="11523" max="11523" width="18.5703125" style="49" customWidth="1"/>
    <col min="11524" max="11524" width="21.7109375" style="49" customWidth="1"/>
    <col min="11525" max="11525" width="25.28515625" style="49" bestFit="1" customWidth="1"/>
    <col min="11526" max="11526" width="21.28515625" style="49" customWidth="1"/>
    <col min="11527" max="11532" width="9.28515625" style="49" customWidth="1"/>
    <col min="11533" max="11775" width="9.28515625" style="49"/>
    <col min="11776" max="11776" width="59.5703125" style="49" customWidth="1"/>
    <col min="11777" max="11777" width="14" style="49" customWidth="1"/>
    <col min="11778" max="11778" width="13" style="49" customWidth="1"/>
    <col min="11779" max="11779" width="18.5703125" style="49" customWidth="1"/>
    <col min="11780" max="11780" width="21.7109375" style="49" customWidth="1"/>
    <col min="11781" max="11781" width="25.28515625" style="49" bestFit="1" customWidth="1"/>
    <col min="11782" max="11782" width="21.28515625" style="49" customWidth="1"/>
    <col min="11783" max="11788" width="9.28515625" style="49" customWidth="1"/>
    <col min="11789" max="12031" width="9.28515625" style="49"/>
    <col min="12032" max="12032" width="59.5703125" style="49" customWidth="1"/>
    <col min="12033" max="12033" width="14" style="49" customWidth="1"/>
    <col min="12034" max="12034" width="13" style="49" customWidth="1"/>
    <col min="12035" max="12035" width="18.5703125" style="49" customWidth="1"/>
    <col min="12036" max="12036" width="21.7109375" style="49" customWidth="1"/>
    <col min="12037" max="12037" width="25.28515625" style="49" bestFit="1" customWidth="1"/>
    <col min="12038" max="12038" width="21.28515625" style="49" customWidth="1"/>
    <col min="12039" max="12044" width="9.28515625" style="49" customWidth="1"/>
    <col min="12045" max="12287" width="9.28515625" style="49"/>
    <col min="12288" max="12288" width="59.5703125" style="49" customWidth="1"/>
    <col min="12289" max="12289" width="14" style="49" customWidth="1"/>
    <col min="12290" max="12290" width="13" style="49" customWidth="1"/>
    <col min="12291" max="12291" width="18.5703125" style="49" customWidth="1"/>
    <col min="12292" max="12292" width="21.7109375" style="49" customWidth="1"/>
    <col min="12293" max="12293" width="25.28515625" style="49" bestFit="1" customWidth="1"/>
    <col min="12294" max="12294" width="21.28515625" style="49" customWidth="1"/>
    <col min="12295" max="12300" width="9.28515625" style="49" customWidth="1"/>
    <col min="12301" max="12543" width="9.28515625" style="49"/>
    <col min="12544" max="12544" width="59.5703125" style="49" customWidth="1"/>
    <col min="12545" max="12545" width="14" style="49" customWidth="1"/>
    <col min="12546" max="12546" width="13" style="49" customWidth="1"/>
    <col min="12547" max="12547" width="18.5703125" style="49" customWidth="1"/>
    <col min="12548" max="12548" width="21.7109375" style="49" customWidth="1"/>
    <col min="12549" max="12549" width="25.28515625" style="49" bestFit="1" customWidth="1"/>
    <col min="12550" max="12550" width="21.28515625" style="49" customWidth="1"/>
    <col min="12551" max="12556" width="9.28515625" style="49" customWidth="1"/>
    <col min="12557" max="12799" width="9.28515625" style="49"/>
    <col min="12800" max="12800" width="59.5703125" style="49" customWidth="1"/>
    <col min="12801" max="12801" width="14" style="49" customWidth="1"/>
    <col min="12802" max="12802" width="13" style="49" customWidth="1"/>
    <col min="12803" max="12803" width="18.5703125" style="49" customWidth="1"/>
    <col min="12804" max="12804" width="21.7109375" style="49" customWidth="1"/>
    <col min="12805" max="12805" width="25.28515625" style="49" bestFit="1" customWidth="1"/>
    <col min="12806" max="12806" width="21.28515625" style="49" customWidth="1"/>
    <col min="12807" max="12812" width="9.28515625" style="49" customWidth="1"/>
    <col min="12813" max="13055" width="9.28515625" style="49"/>
    <col min="13056" max="13056" width="59.5703125" style="49" customWidth="1"/>
    <col min="13057" max="13057" width="14" style="49" customWidth="1"/>
    <col min="13058" max="13058" width="13" style="49" customWidth="1"/>
    <col min="13059" max="13059" width="18.5703125" style="49" customWidth="1"/>
    <col min="13060" max="13060" width="21.7109375" style="49" customWidth="1"/>
    <col min="13061" max="13061" width="25.28515625" style="49" bestFit="1" customWidth="1"/>
    <col min="13062" max="13062" width="21.28515625" style="49" customWidth="1"/>
    <col min="13063" max="13068" width="9.28515625" style="49" customWidth="1"/>
    <col min="13069" max="13311" width="9.28515625" style="49"/>
    <col min="13312" max="13312" width="59.5703125" style="49" customWidth="1"/>
    <col min="13313" max="13313" width="14" style="49" customWidth="1"/>
    <col min="13314" max="13314" width="13" style="49" customWidth="1"/>
    <col min="13315" max="13315" width="18.5703125" style="49" customWidth="1"/>
    <col min="13316" max="13316" width="21.7109375" style="49" customWidth="1"/>
    <col min="13317" max="13317" width="25.28515625" style="49" bestFit="1" customWidth="1"/>
    <col min="13318" max="13318" width="21.28515625" style="49" customWidth="1"/>
    <col min="13319" max="13324" width="9.28515625" style="49" customWidth="1"/>
    <col min="13325" max="13567" width="9.28515625" style="49"/>
    <col min="13568" max="13568" width="59.5703125" style="49" customWidth="1"/>
    <col min="13569" max="13569" width="14" style="49" customWidth="1"/>
    <col min="13570" max="13570" width="13" style="49" customWidth="1"/>
    <col min="13571" max="13571" width="18.5703125" style="49" customWidth="1"/>
    <col min="13572" max="13572" width="21.7109375" style="49" customWidth="1"/>
    <col min="13573" max="13573" width="25.28515625" style="49" bestFit="1" customWidth="1"/>
    <col min="13574" max="13574" width="21.28515625" style="49" customWidth="1"/>
    <col min="13575" max="13580" width="9.28515625" style="49" customWidth="1"/>
    <col min="13581" max="13823" width="9.28515625" style="49"/>
    <col min="13824" max="13824" width="59.5703125" style="49" customWidth="1"/>
    <col min="13825" max="13825" width="14" style="49" customWidth="1"/>
    <col min="13826" max="13826" width="13" style="49" customWidth="1"/>
    <col min="13827" max="13827" width="18.5703125" style="49" customWidth="1"/>
    <col min="13828" max="13828" width="21.7109375" style="49" customWidth="1"/>
    <col min="13829" max="13829" width="25.28515625" style="49" bestFit="1" customWidth="1"/>
    <col min="13830" max="13830" width="21.28515625" style="49" customWidth="1"/>
    <col min="13831" max="13836" width="9.28515625" style="49" customWidth="1"/>
    <col min="13837" max="14079" width="9.28515625" style="49"/>
    <col min="14080" max="14080" width="59.5703125" style="49" customWidth="1"/>
    <col min="14081" max="14081" width="14" style="49" customWidth="1"/>
    <col min="14082" max="14082" width="13" style="49" customWidth="1"/>
    <col min="14083" max="14083" width="18.5703125" style="49" customWidth="1"/>
    <col min="14084" max="14084" width="21.7109375" style="49" customWidth="1"/>
    <col min="14085" max="14085" width="25.28515625" style="49" bestFit="1" customWidth="1"/>
    <col min="14086" max="14086" width="21.28515625" style="49" customWidth="1"/>
    <col min="14087" max="14092" width="9.28515625" style="49" customWidth="1"/>
    <col min="14093" max="14335" width="9.28515625" style="49"/>
    <col min="14336" max="14336" width="59.5703125" style="49" customWidth="1"/>
    <col min="14337" max="14337" width="14" style="49" customWidth="1"/>
    <col min="14338" max="14338" width="13" style="49" customWidth="1"/>
    <col min="14339" max="14339" width="18.5703125" style="49" customWidth="1"/>
    <col min="14340" max="14340" width="21.7109375" style="49" customWidth="1"/>
    <col min="14341" max="14341" width="25.28515625" style="49" bestFit="1" customWidth="1"/>
    <col min="14342" max="14342" width="21.28515625" style="49" customWidth="1"/>
    <col min="14343" max="14348" width="9.28515625" style="49" customWidth="1"/>
    <col min="14349" max="14591" width="9.28515625" style="49"/>
    <col min="14592" max="14592" width="59.5703125" style="49" customWidth="1"/>
    <col min="14593" max="14593" width="14" style="49" customWidth="1"/>
    <col min="14594" max="14594" width="13" style="49" customWidth="1"/>
    <col min="14595" max="14595" width="18.5703125" style="49" customWidth="1"/>
    <col min="14596" max="14596" width="21.7109375" style="49" customWidth="1"/>
    <col min="14597" max="14597" width="25.28515625" style="49" bestFit="1" customWidth="1"/>
    <col min="14598" max="14598" width="21.28515625" style="49" customWidth="1"/>
    <col min="14599" max="14604" width="9.28515625" style="49" customWidth="1"/>
    <col min="14605" max="14847" width="9.28515625" style="49"/>
    <col min="14848" max="14848" width="59.5703125" style="49" customWidth="1"/>
    <col min="14849" max="14849" width="14" style="49" customWidth="1"/>
    <col min="14850" max="14850" width="13" style="49" customWidth="1"/>
    <col min="14851" max="14851" width="18.5703125" style="49" customWidth="1"/>
    <col min="14852" max="14852" width="21.7109375" style="49" customWidth="1"/>
    <col min="14853" max="14853" width="25.28515625" style="49" bestFit="1" customWidth="1"/>
    <col min="14854" max="14854" width="21.28515625" style="49" customWidth="1"/>
    <col min="14855" max="14860" width="9.28515625" style="49" customWidth="1"/>
    <col min="14861" max="15103" width="9.28515625" style="49"/>
    <col min="15104" max="15104" width="59.5703125" style="49" customWidth="1"/>
    <col min="15105" max="15105" width="14" style="49" customWidth="1"/>
    <col min="15106" max="15106" width="13" style="49" customWidth="1"/>
    <col min="15107" max="15107" width="18.5703125" style="49" customWidth="1"/>
    <col min="15108" max="15108" width="21.7109375" style="49" customWidth="1"/>
    <col min="15109" max="15109" width="25.28515625" style="49" bestFit="1" customWidth="1"/>
    <col min="15110" max="15110" width="21.28515625" style="49" customWidth="1"/>
    <col min="15111" max="15116" width="9.28515625" style="49" customWidth="1"/>
    <col min="15117" max="15359" width="9.28515625" style="49"/>
    <col min="15360" max="15360" width="59.5703125" style="49" customWidth="1"/>
    <col min="15361" max="15361" width="14" style="49" customWidth="1"/>
    <col min="15362" max="15362" width="13" style="49" customWidth="1"/>
    <col min="15363" max="15363" width="18.5703125" style="49" customWidth="1"/>
    <col min="15364" max="15364" width="21.7109375" style="49" customWidth="1"/>
    <col min="15365" max="15365" width="25.28515625" style="49" bestFit="1" customWidth="1"/>
    <col min="15366" max="15366" width="21.28515625" style="49" customWidth="1"/>
    <col min="15367" max="15372" width="9.28515625" style="49" customWidth="1"/>
    <col min="15373" max="15615" width="9.28515625" style="49"/>
    <col min="15616" max="15616" width="59.5703125" style="49" customWidth="1"/>
    <col min="15617" max="15617" width="14" style="49" customWidth="1"/>
    <col min="15618" max="15618" width="13" style="49" customWidth="1"/>
    <col min="15619" max="15619" width="18.5703125" style="49" customWidth="1"/>
    <col min="15620" max="15620" width="21.7109375" style="49" customWidth="1"/>
    <col min="15621" max="15621" width="25.28515625" style="49" bestFit="1" customWidth="1"/>
    <col min="15622" max="15622" width="21.28515625" style="49" customWidth="1"/>
    <col min="15623" max="15628" width="9.28515625" style="49" customWidth="1"/>
    <col min="15629" max="15871" width="9.28515625" style="49"/>
    <col min="15872" max="15872" width="59.5703125" style="49" customWidth="1"/>
    <col min="15873" max="15873" width="14" style="49" customWidth="1"/>
    <col min="15874" max="15874" width="13" style="49" customWidth="1"/>
    <col min="15875" max="15875" width="18.5703125" style="49" customWidth="1"/>
    <col min="15876" max="15876" width="21.7109375" style="49" customWidth="1"/>
    <col min="15877" max="15877" width="25.28515625" style="49" bestFit="1" customWidth="1"/>
    <col min="15878" max="15878" width="21.28515625" style="49" customWidth="1"/>
    <col min="15879" max="15884" width="9.28515625" style="49" customWidth="1"/>
    <col min="15885" max="16127" width="9.28515625" style="49"/>
    <col min="16128" max="16128" width="59.5703125" style="49" customWidth="1"/>
    <col min="16129" max="16129" width="14" style="49" customWidth="1"/>
    <col min="16130" max="16130" width="13" style="49" customWidth="1"/>
    <col min="16131" max="16131" width="18.5703125" style="49" customWidth="1"/>
    <col min="16132" max="16132" width="21.7109375" style="49" customWidth="1"/>
    <col min="16133" max="16133" width="25.28515625" style="49" bestFit="1" customWidth="1"/>
    <col min="16134" max="16134" width="21.28515625" style="49" customWidth="1"/>
    <col min="16135" max="16140" width="9.28515625" style="49" customWidth="1"/>
    <col min="16141" max="16383" width="9.28515625" style="49"/>
    <col min="16384" max="16384" width="9.28515625" style="49" customWidth="1"/>
  </cols>
  <sheetData>
    <row r="1" spans="1:11" ht="15" x14ac:dyDescent="0.25">
      <c r="A1" s="555" t="s">
        <v>212</v>
      </c>
      <c r="B1" s="555"/>
      <c r="C1" s="555"/>
      <c r="D1" s="555"/>
      <c r="E1" s="555"/>
      <c r="F1" s="555"/>
    </row>
    <row r="3" spans="1:11" x14ac:dyDescent="0.2">
      <c r="A3" s="556" t="s">
        <v>159</v>
      </c>
      <c r="B3" s="556"/>
      <c r="C3" s="556"/>
      <c r="D3" s="556"/>
      <c r="E3" s="556"/>
      <c r="F3" s="556"/>
    </row>
    <row r="4" spans="1:11" hidden="1" x14ac:dyDescent="0.2"/>
    <row r="5" spans="1:11" ht="47.45" customHeight="1" x14ac:dyDescent="0.2">
      <c r="A5" s="309" t="s">
        <v>160</v>
      </c>
      <c r="B5" s="310">
        <v>4.5</v>
      </c>
      <c r="C5" s="557" t="s">
        <v>161</v>
      </c>
      <c r="D5" s="558"/>
      <c r="E5" s="558"/>
      <c r="F5" s="559"/>
    </row>
    <row r="6" spans="1:11" ht="28.5" x14ac:dyDescent="0.2">
      <c r="A6" s="51" t="s">
        <v>162</v>
      </c>
      <c r="B6" s="51" t="s">
        <v>163</v>
      </c>
      <c r="C6" s="52" t="s">
        <v>164</v>
      </c>
      <c r="D6" s="51" t="s">
        <v>165</v>
      </c>
      <c r="E6" s="51" t="s">
        <v>166</v>
      </c>
      <c r="F6" s="51" t="s">
        <v>167</v>
      </c>
      <c r="G6" s="50"/>
      <c r="H6" s="50"/>
      <c r="I6" s="50"/>
      <c r="J6" s="50"/>
      <c r="K6" s="50"/>
    </row>
    <row r="7" spans="1:11" x14ac:dyDescent="0.2">
      <c r="A7" s="53" t="s">
        <v>175</v>
      </c>
      <c r="B7" s="54">
        <v>1795.03</v>
      </c>
      <c r="C7" s="55">
        <v>52</v>
      </c>
      <c r="D7" s="56">
        <f>B5*C7</f>
        <v>234</v>
      </c>
      <c r="E7" s="54">
        <f>B7*6%</f>
        <v>107.70179999999999</v>
      </c>
      <c r="F7" s="54">
        <f>D7-E7</f>
        <v>126.29820000000001</v>
      </c>
      <c r="G7" s="50"/>
      <c r="H7" s="50"/>
      <c r="I7" s="50"/>
      <c r="J7" s="50"/>
      <c r="K7" s="50"/>
    </row>
    <row r="8" spans="1:11" x14ac:dyDescent="0.2">
      <c r="A8" s="53" t="s">
        <v>168</v>
      </c>
      <c r="B8" s="54">
        <v>1240</v>
      </c>
      <c r="C8" s="55">
        <v>52</v>
      </c>
      <c r="D8" s="56">
        <f>B5*C8</f>
        <v>234</v>
      </c>
      <c r="E8" s="54">
        <f>B8*6%</f>
        <v>74.399999999999991</v>
      </c>
      <c r="F8" s="54">
        <f>D8-E8</f>
        <v>159.60000000000002</v>
      </c>
      <c r="G8" s="50"/>
      <c r="H8" s="50"/>
      <c r="I8" s="50"/>
      <c r="J8" s="50"/>
      <c r="K8" s="50"/>
    </row>
    <row r="9" spans="1:11" x14ac:dyDescent="0.2">
      <c r="A9" s="57"/>
      <c r="B9" s="57"/>
      <c r="C9" s="58"/>
      <c r="D9" s="59"/>
      <c r="E9" s="59"/>
      <c r="F9" s="59"/>
    </row>
    <row r="10" spans="1:11" x14ac:dyDescent="0.2">
      <c r="A10" s="556" t="s">
        <v>420</v>
      </c>
      <c r="B10" s="556"/>
      <c r="C10" s="556"/>
      <c r="D10" s="556"/>
      <c r="E10" s="556"/>
      <c r="F10" s="556"/>
    </row>
    <row r="12" spans="1:11" ht="54" customHeight="1" x14ac:dyDescent="0.2">
      <c r="A12" s="309" t="s">
        <v>421</v>
      </c>
      <c r="B12" s="310">
        <v>19.5</v>
      </c>
      <c r="C12" s="560" t="s">
        <v>425</v>
      </c>
      <c r="D12" s="561"/>
      <c r="E12" s="561"/>
      <c r="F12" s="562"/>
    </row>
    <row r="13" spans="1:11" ht="28.5" x14ac:dyDescent="0.2">
      <c r="A13" s="51" t="s">
        <v>162</v>
      </c>
      <c r="B13" s="51" t="s">
        <v>163</v>
      </c>
      <c r="C13" s="52" t="s">
        <v>424</v>
      </c>
      <c r="D13" s="51" t="s">
        <v>423</v>
      </c>
      <c r="E13" s="51" t="s">
        <v>422</v>
      </c>
      <c r="F13" s="51" t="s">
        <v>167</v>
      </c>
    </row>
    <row r="14" spans="1:11" x14ac:dyDescent="0.2">
      <c r="A14" s="53" t="s">
        <v>175</v>
      </c>
      <c r="B14" s="54">
        <v>1795.03</v>
      </c>
      <c r="C14" s="55">
        <v>22</v>
      </c>
      <c r="D14" s="56">
        <f>B12*C14</f>
        <v>429</v>
      </c>
      <c r="E14" s="54">
        <v>0.25</v>
      </c>
      <c r="F14" s="54">
        <f>D14-E14</f>
        <v>428.75</v>
      </c>
    </row>
    <row r="15" spans="1:11" x14ac:dyDescent="0.2">
      <c r="A15" s="53" t="s">
        <v>168</v>
      </c>
      <c r="B15" s="54">
        <v>1240</v>
      </c>
      <c r="C15" s="55">
        <v>22</v>
      </c>
      <c r="D15" s="56">
        <f>B12*C15</f>
        <v>429</v>
      </c>
      <c r="E15" s="54">
        <v>0.25</v>
      </c>
      <c r="F15" s="54">
        <f>D15-E15</f>
        <v>428.75</v>
      </c>
    </row>
    <row r="117" spans="7:8" x14ac:dyDescent="0.2">
      <c r="G117" s="60"/>
      <c r="H117" s="60"/>
    </row>
  </sheetData>
  <mergeCells count="5">
    <mergeCell ref="A1:F1"/>
    <mergeCell ref="A3:F3"/>
    <mergeCell ref="C5:F5"/>
    <mergeCell ref="A10:F10"/>
    <mergeCell ref="C12:F12"/>
  </mergeCells>
  <dataValidations count="1">
    <dataValidation type="decimal" allowBlank="1" showInputMessage="1" showErrorMessage="1" promptTitle="Partic. do funcionário no ticket" prompt="Preencher com o valor da participação do funcionário no custeio do vale-alimentação." sqref="WVI983048:WVL983048 IW65544:IZ65544 SS65544:SV65544 ACO65544:ACR65544 AMK65544:AMN65544 AWG65544:AWJ65544 BGC65544:BGF65544 BPY65544:BQB65544 BZU65544:BZX65544 CJQ65544:CJT65544 CTM65544:CTP65544 DDI65544:DDL65544 DNE65544:DNH65544 DXA65544:DXD65544 EGW65544:EGZ65544 EQS65544:EQV65544 FAO65544:FAR65544 FKK65544:FKN65544 FUG65544:FUJ65544 GEC65544:GEF65544 GNY65544:GOB65544 GXU65544:GXX65544 HHQ65544:HHT65544 HRM65544:HRP65544 IBI65544:IBL65544 ILE65544:ILH65544 IVA65544:IVD65544 JEW65544:JEZ65544 JOS65544:JOV65544 JYO65544:JYR65544 KIK65544:KIN65544 KSG65544:KSJ65544 LCC65544:LCF65544 LLY65544:LMB65544 LVU65544:LVX65544 MFQ65544:MFT65544 MPM65544:MPP65544 MZI65544:MZL65544 NJE65544:NJH65544 NTA65544:NTD65544 OCW65544:OCZ65544 OMS65544:OMV65544 OWO65544:OWR65544 PGK65544:PGN65544 PQG65544:PQJ65544 QAC65544:QAF65544 QJY65544:QKB65544 QTU65544:QTX65544 RDQ65544:RDT65544 RNM65544:RNP65544 RXI65544:RXL65544 SHE65544:SHH65544 SRA65544:SRD65544 TAW65544:TAZ65544 TKS65544:TKV65544 TUO65544:TUR65544 UEK65544:UEN65544 UOG65544:UOJ65544 UYC65544:UYF65544 VHY65544:VIB65544 VRU65544:VRX65544 WBQ65544:WBT65544 WLM65544:WLP65544 WVI65544:WVL65544 IW131080:IZ131080 SS131080:SV131080 ACO131080:ACR131080 AMK131080:AMN131080 AWG131080:AWJ131080 BGC131080:BGF131080 BPY131080:BQB131080 BZU131080:BZX131080 CJQ131080:CJT131080 CTM131080:CTP131080 DDI131080:DDL131080 DNE131080:DNH131080 DXA131080:DXD131080 EGW131080:EGZ131080 EQS131080:EQV131080 FAO131080:FAR131080 FKK131080:FKN131080 FUG131080:FUJ131080 GEC131080:GEF131080 GNY131080:GOB131080 GXU131080:GXX131080 HHQ131080:HHT131080 HRM131080:HRP131080 IBI131080:IBL131080 ILE131080:ILH131080 IVA131080:IVD131080 JEW131080:JEZ131080 JOS131080:JOV131080 JYO131080:JYR131080 KIK131080:KIN131080 KSG131080:KSJ131080 LCC131080:LCF131080 LLY131080:LMB131080 LVU131080:LVX131080 MFQ131080:MFT131080 MPM131080:MPP131080 MZI131080:MZL131080 NJE131080:NJH131080 NTA131080:NTD131080 OCW131080:OCZ131080 OMS131080:OMV131080 OWO131080:OWR131080 PGK131080:PGN131080 PQG131080:PQJ131080 QAC131080:QAF131080 QJY131080:QKB131080 QTU131080:QTX131080 RDQ131080:RDT131080 RNM131080:RNP131080 RXI131080:RXL131080 SHE131080:SHH131080 SRA131080:SRD131080 TAW131080:TAZ131080 TKS131080:TKV131080 TUO131080:TUR131080 UEK131080:UEN131080 UOG131080:UOJ131080 UYC131080:UYF131080 VHY131080:VIB131080 VRU131080:VRX131080 WBQ131080:WBT131080 WLM131080:WLP131080 WVI131080:WVL131080 IW196616:IZ196616 SS196616:SV196616 ACO196616:ACR196616 AMK196616:AMN196616 AWG196616:AWJ196616 BGC196616:BGF196616 BPY196616:BQB196616 BZU196616:BZX196616 CJQ196616:CJT196616 CTM196616:CTP196616 DDI196616:DDL196616 DNE196616:DNH196616 DXA196616:DXD196616 EGW196616:EGZ196616 EQS196616:EQV196616 FAO196616:FAR196616 FKK196616:FKN196616 FUG196616:FUJ196616 GEC196616:GEF196616 GNY196616:GOB196616 GXU196616:GXX196616 HHQ196616:HHT196616 HRM196616:HRP196616 IBI196616:IBL196616 ILE196616:ILH196616 IVA196616:IVD196616 JEW196616:JEZ196616 JOS196616:JOV196616 JYO196616:JYR196616 KIK196616:KIN196616 KSG196616:KSJ196616 LCC196616:LCF196616 LLY196616:LMB196616 LVU196616:LVX196616 MFQ196616:MFT196616 MPM196616:MPP196616 MZI196616:MZL196616 NJE196616:NJH196616 NTA196616:NTD196616 OCW196616:OCZ196616 OMS196616:OMV196616 OWO196616:OWR196616 PGK196616:PGN196616 PQG196616:PQJ196616 QAC196616:QAF196616 QJY196616:QKB196616 QTU196616:QTX196616 RDQ196616:RDT196616 RNM196616:RNP196616 RXI196616:RXL196616 SHE196616:SHH196616 SRA196616:SRD196616 TAW196616:TAZ196616 TKS196616:TKV196616 TUO196616:TUR196616 UEK196616:UEN196616 UOG196616:UOJ196616 UYC196616:UYF196616 VHY196616:VIB196616 VRU196616:VRX196616 WBQ196616:WBT196616 WLM196616:WLP196616 WVI196616:WVL196616 IW262152:IZ262152 SS262152:SV262152 ACO262152:ACR262152 AMK262152:AMN262152 AWG262152:AWJ262152 BGC262152:BGF262152 BPY262152:BQB262152 BZU262152:BZX262152 CJQ262152:CJT262152 CTM262152:CTP262152 DDI262152:DDL262152 DNE262152:DNH262152 DXA262152:DXD262152 EGW262152:EGZ262152 EQS262152:EQV262152 FAO262152:FAR262152 FKK262152:FKN262152 FUG262152:FUJ262152 GEC262152:GEF262152 GNY262152:GOB262152 GXU262152:GXX262152 HHQ262152:HHT262152 HRM262152:HRP262152 IBI262152:IBL262152 ILE262152:ILH262152 IVA262152:IVD262152 JEW262152:JEZ262152 JOS262152:JOV262152 JYO262152:JYR262152 KIK262152:KIN262152 KSG262152:KSJ262152 LCC262152:LCF262152 LLY262152:LMB262152 LVU262152:LVX262152 MFQ262152:MFT262152 MPM262152:MPP262152 MZI262152:MZL262152 NJE262152:NJH262152 NTA262152:NTD262152 OCW262152:OCZ262152 OMS262152:OMV262152 OWO262152:OWR262152 PGK262152:PGN262152 PQG262152:PQJ262152 QAC262152:QAF262152 QJY262152:QKB262152 QTU262152:QTX262152 RDQ262152:RDT262152 RNM262152:RNP262152 RXI262152:RXL262152 SHE262152:SHH262152 SRA262152:SRD262152 TAW262152:TAZ262152 TKS262152:TKV262152 TUO262152:TUR262152 UEK262152:UEN262152 UOG262152:UOJ262152 UYC262152:UYF262152 VHY262152:VIB262152 VRU262152:VRX262152 WBQ262152:WBT262152 WLM262152:WLP262152 WVI262152:WVL262152 IW327688:IZ327688 SS327688:SV327688 ACO327688:ACR327688 AMK327688:AMN327688 AWG327688:AWJ327688 BGC327688:BGF327688 BPY327688:BQB327688 BZU327688:BZX327688 CJQ327688:CJT327688 CTM327688:CTP327688 DDI327688:DDL327688 DNE327688:DNH327688 DXA327688:DXD327688 EGW327688:EGZ327688 EQS327688:EQV327688 FAO327688:FAR327688 FKK327688:FKN327688 FUG327688:FUJ327688 GEC327688:GEF327688 GNY327688:GOB327688 GXU327688:GXX327688 HHQ327688:HHT327688 HRM327688:HRP327688 IBI327688:IBL327688 ILE327688:ILH327688 IVA327688:IVD327688 JEW327688:JEZ327688 JOS327688:JOV327688 JYO327688:JYR327688 KIK327688:KIN327688 KSG327688:KSJ327688 LCC327688:LCF327688 LLY327688:LMB327688 LVU327688:LVX327688 MFQ327688:MFT327688 MPM327688:MPP327688 MZI327688:MZL327688 NJE327688:NJH327688 NTA327688:NTD327688 OCW327688:OCZ327688 OMS327688:OMV327688 OWO327688:OWR327688 PGK327688:PGN327688 PQG327688:PQJ327688 QAC327688:QAF327688 QJY327688:QKB327688 QTU327688:QTX327688 RDQ327688:RDT327688 RNM327688:RNP327688 RXI327688:RXL327688 SHE327688:SHH327688 SRA327688:SRD327688 TAW327688:TAZ327688 TKS327688:TKV327688 TUO327688:TUR327688 UEK327688:UEN327688 UOG327688:UOJ327688 UYC327688:UYF327688 VHY327688:VIB327688 VRU327688:VRX327688 WBQ327688:WBT327688 WLM327688:WLP327688 WVI327688:WVL327688 IW393224:IZ393224 SS393224:SV393224 ACO393224:ACR393224 AMK393224:AMN393224 AWG393224:AWJ393224 BGC393224:BGF393224 BPY393224:BQB393224 BZU393224:BZX393224 CJQ393224:CJT393224 CTM393224:CTP393224 DDI393224:DDL393224 DNE393224:DNH393224 DXA393224:DXD393224 EGW393224:EGZ393224 EQS393224:EQV393224 FAO393224:FAR393224 FKK393224:FKN393224 FUG393224:FUJ393224 GEC393224:GEF393224 GNY393224:GOB393224 GXU393224:GXX393224 HHQ393224:HHT393224 HRM393224:HRP393224 IBI393224:IBL393224 ILE393224:ILH393224 IVA393224:IVD393224 JEW393224:JEZ393224 JOS393224:JOV393224 JYO393224:JYR393224 KIK393224:KIN393224 KSG393224:KSJ393224 LCC393224:LCF393224 LLY393224:LMB393224 LVU393224:LVX393224 MFQ393224:MFT393224 MPM393224:MPP393224 MZI393224:MZL393224 NJE393224:NJH393224 NTA393224:NTD393224 OCW393224:OCZ393224 OMS393224:OMV393224 OWO393224:OWR393224 PGK393224:PGN393224 PQG393224:PQJ393224 QAC393224:QAF393224 QJY393224:QKB393224 QTU393224:QTX393224 RDQ393224:RDT393224 RNM393224:RNP393224 RXI393224:RXL393224 SHE393224:SHH393224 SRA393224:SRD393224 TAW393224:TAZ393224 TKS393224:TKV393224 TUO393224:TUR393224 UEK393224:UEN393224 UOG393224:UOJ393224 UYC393224:UYF393224 VHY393224:VIB393224 VRU393224:VRX393224 WBQ393224:WBT393224 WLM393224:WLP393224 WVI393224:WVL393224 IW458760:IZ458760 SS458760:SV458760 ACO458760:ACR458760 AMK458760:AMN458760 AWG458760:AWJ458760 BGC458760:BGF458760 BPY458760:BQB458760 BZU458760:BZX458760 CJQ458760:CJT458760 CTM458760:CTP458760 DDI458760:DDL458760 DNE458760:DNH458760 DXA458760:DXD458760 EGW458760:EGZ458760 EQS458760:EQV458760 FAO458760:FAR458760 FKK458760:FKN458760 FUG458760:FUJ458760 GEC458760:GEF458760 GNY458760:GOB458760 GXU458760:GXX458760 HHQ458760:HHT458760 HRM458760:HRP458760 IBI458760:IBL458760 ILE458760:ILH458760 IVA458760:IVD458760 JEW458760:JEZ458760 JOS458760:JOV458760 JYO458760:JYR458760 KIK458760:KIN458760 KSG458760:KSJ458760 LCC458760:LCF458760 LLY458760:LMB458760 LVU458760:LVX458760 MFQ458760:MFT458760 MPM458760:MPP458760 MZI458760:MZL458760 NJE458760:NJH458760 NTA458760:NTD458760 OCW458760:OCZ458760 OMS458760:OMV458760 OWO458760:OWR458760 PGK458760:PGN458760 PQG458760:PQJ458760 QAC458760:QAF458760 QJY458760:QKB458760 QTU458760:QTX458760 RDQ458760:RDT458760 RNM458760:RNP458760 RXI458760:RXL458760 SHE458760:SHH458760 SRA458760:SRD458760 TAW458760:TAZ458760 TKS458760:TKV458760 TUO458760:TUR458760 UEK458760:UEN458760 UOG458760:UOJ458760 UYC458760:UYF458760 VHY458760:VIB458760 VRU458760:VRX458760 WBQ458760:WBT458760 WLM458760:WLP458760 WVI458760:WVL458760 IW524296:IZ524296 SS524296:SV524296 ACO524296:ACR524296 AMK524296:AMN524296 AWG524296:AWJ524296 BGC524296:BGF524296 BPY524296:BQB524296 BZU524296:BZX524296 CJQ524296:CJT524296 CTM524296:CTP524296 DDI524296:DDL524296 DNE524296:DNH524296 DXA524296:DXD524296 EGW524296:EGZ524296 EQS524296:EQV524296 FAO524296:FAR524296 FKK524296:FKN524296 FUG524296:FUJ524296 GEC524296:GEF524296 GNY524296:GOB524296 GXU524296:GXX524296 HHQ524296:HHT524296 HRM524296:HRP524296 IBI524296:IBL524296 ILE524296:ILH524296 IVA524296:IVD524296 JEW524296:JEZ524296 JOS524296:JOV524296 JYO524296:JYR524296 KIK524296:KIN524296 KSG524296:KSJ524296 LCC524296:LCF524296 LLY524296:LMB524296 LVU524296:LVX524296 MFQ524296:MFT524296 MPM524296:MPP524296 MZI524296:MZL524296 NJE524296:NJH524296 NTA524296:NTD524296 OCW524296:OCZ524296 OMS524296:OMV524296 OWO524296:OWR524296 PGK524296:PGN524296 PQG524296:PQJ524296 QAC524296:QAF524296 QJY524296:QKB524296 QTU524296:QTX524296 RDQ524296:RDT524296 RNM524296:RNP524296 RXI524296:RXL524296 SHE524296:SHH524296 SRA524296:SRD524296 TAW524296:TAZ524296 TKS524296:TKV524296 TUO524296:TUR524296 UEK524296:UEN524296 UOG524296:UOJ524296 UYC524296:UYF524296 VHY524296:VIB524296 VRU524296:VRX524296 WBQ524296:WBT524296 WLM524296:WLP524296 WVI524296:WVL524296 IW589832:IZ589832 SS589832:SV589832 ACO589832:ACR589832 AMK589832:AMN589832 AWG589832:AWJ589832 BGC589832:BGF589832 BPY589832:BQB589832 BZU589832:BZX589832 CJQ589832:CJT589832 CTM589832:CTP589832 DDI589832:DDL589832 DNE589832:DNH589832 DXA589832:DXD589832 EGW589832:EGZ589832 EQS589832:EQV589832 FAO589832:FAR589832 FKK589832:FKN589832 FUG589832:FUJ589832 GEC589832:GEF589832 GNY589832:GOB589832 GXU589832:GXX589832 HHQ589832:HHT589832 HRM589832:HRP589832 IBI589832:IBL589832 ILE589832:ILH589832 IVA589832:IVD589832 JEW589832:JEZ589832 JOS589832:JOV589832 JYO589832:JYR589832 KIK589832:KIN589832 KSG589832:KSJ589832 LCC589832:LCF589832 LLY589832:LMB589832 LVU589832:LVX589832 MFQ589832:MFT589832 MPM589832:MPP589832 MZI589832:MZL589832 NJE589832:NJH589832 NTA589832:NTD589832 OCW589832:OCZ589832 OMS589832:OMV589832 OWO589832:OWR589832 PGK589832:PGN589832 PQG589832:PQJ589832 QAC589832:QAF589832 QJY589832:QKB589832 QTU589832:QTX589832 RDQ589832:RDT589832 RNM589832:RNP589832 RXI589832:RXL589832 SHE589832:SHH589832 SRA589832:SRD589832 TAW589832:TAZ589832 TKS589832:TKV589832 TUO589832:TUR589832 UEK589832:UEN589832 UOG589832:UOJ589832 UYC589832:UYF589832 VHY589832:VIB589832 VRU589832:VRX589832 WBQ589832:WBT589832 WLM589832:WLP589832 WVI589832:WVL589832 IW655368:IZ655368 SS655368:SV655368 ACO655368:ACR655368 AMK655368:AMN655368 AWG655368:AWJ655368 BGC655368:BGF655368 BPY655368:BQB655368 BZU655368:BZX655368 CJQ655368:CJT655368 CTM655368:CTP655368 DDI655368:DDL655368 DNE655368:DNH655368 DXA655368:DXD655368 EGW655368:EGZ655368 EQS655368:EQV655368 FAO655368:FAR655368 FKK655368:FKN655368 FUG655368:FUJ655368 GEC655368:GEF655368 GNY655368:GOB655368 GXU655368:GXX655368 HHQ655368:HHT655368 HRM655368:HRP655368 IBI655368:IBL655368 ILE655368:ILH655368 IVA655368:IVD655368 JEW655368:JEZ655368 JOS655368:JOV655368 JYO655368:JYR655368 KIK655368:KIN655368 KSG655368:KSJ655368 LCC655368:LCF655368 LLY655368:LMB655368 LVU655368:LVX655368 MFQ655368:MFT655368 MPM655368:MPP655368 MZI655368:MZL655368 NJE655368:NJH655368 NTA655368:NTD655368 OCW655368:OCZ655368 OMS655368:OMV655368 OWO655368:OWR655368 PGK655368:PGN655368 PQG655368:PQJ655368 QAC655368:QAF655368 QJY655368:QKB655368 QTU655368:QTX655368 RDQ655368:RDT655368 RNM655368:RNP655368 RXI655368:RXL655368 SHE655368:SHH655368 SRA655368:SRD655368 TAW655368:TAZ655368 TKS655368:TKV655368 TUO655368:TUR655368 UEK655368:UEN655368 UOG655368:UOJ655368 UYC655368:UYF655368 VHY655368:VIB655368 VRU655368:VRX655368 WBQ655368:WBT655368 WLM655368:WLP655368 WVI655368:WVL655368 IW720904:IZ720904 SS720904:SV720904 ACO720904:ACR720904 AMK720904:AMN720904 AWG720904:AWJ720904 BGC720904:BGF720904 BPY720904:BQB720904 BZU720904:BZX720904 CJQ720904:CJT720904 CTM720904:CTP720904 DDI720904:DDL720904 DNE720904:DNH720904 DXA720904:DXD720904 EGW720904:EGZ720904 EQS720904:EQV720904 FAO720904:FAR720904 FKK720904:FKN720904 FUG720904:FUJ720904 GEC720904:GEF720904 GNY720904:GOB720904 GXU720904:GXX720904 HHQ720904:HHT720904 HRM720904:HRP720904 IBI720904:IBL720904 ILE720904:ILH720904 IVA720904:IVD720904 JEW720904:JEZ720904 JOS720904:JOV720904 JYO720904:JYR720904 KIK720904:KIN720904 KSG720904:KSJ720904 LCC720904:LCF720904 LLY720904:LMB720904 LVU720904:LVX720904 MFQ720904:MFT720904 MPM720904:MPP720904 MZI720904:MZL720904 NJE720904:NJH720904 NTA720904:NTD720904 OCW720904:OCZ720904 OMS720904:OMV720904 OWO720904:OWR720904 PGK720904:PGN720904 PQG720904:PQJ720904 QAC720904:QAF720904 QJY720904:QKB720904 QTU720904:QTX720904 RDQ720904:RDT720904 RNM720904:RNP720904 RXI720904:RXL720904 SHE720904:SHH720904 SRA720904:SRD720904 TAW720904:TAZ720904 TKS720904:TKV720904 TUO720904:TUR720904 UEK720904:UEN720904 UOG720904:UOJ720904 UYC720904:UYF720904 VHY720904:VIB720904 VRU720904:VRX720904 WBQ720904:WBT720904 WLM720904:WLP720904 WVI720904:WVL720904 IW786440:IZ786440 SS786440:SV786440 ACO786440:ACR786440 AMK786440:AMN786440 AWG786440:AWJ786440 BGC786440:BGF786440 BPY786440:BQB786440 BZU786440:BZX786440 CJQ786440:CJT786440 CTM786440:CTP786440 DDI786440:DDL786440 DNE786440:DNH786440 DXA786440:DXD786440 EGW786440:EGZ786440 EQS786440:EQV786440 FAO786440:FAR786440 FKK786440:FKN786440 FUG786440:FUJ786440 GEC786440:GEF786440 GNY786440:GOB786440 GXU786440:GXX786440 HHQ786440:HHT786440 HRM786440:HRP786440 IBI786440:IBL786440 ILE786440:ILH786440 IVA786440:IVD786440 JEW786440:JEZ786440 JOS786440:JOV786440 JYO786440:JYR786440 KIK786440:KIN786440 KSG786440:KSJ786440 LCC786440:LCF786440 LLY786440:LMB786440 LVU786440:LVX786440 MFQ786440:MFT786440 MPM786440:MPP786440 MZI786440:MZL786440 NJE786440:NJH786440 NTA786440:NTD786440 OCW786440:OCZ786440 OMS786440:OMV786440 OWO786440:OWR786440 PGK786440:PGN786440 PQG786440:PQJ786440 QAC786440:QAF786440 QJY786440:QKB786440 QTU786440:QTX786440 RDQ786440:RDT786440 RNM786440:RNP786440 RXI786440:RXL786440 SHE786440:SHH786440 SRA786440:SRD786440 TAW786440:TAZ786440 TKS786440:TKV786440 TUO786440:TUR786440 UEK786440:UEN786440 UOG786440:UOJ786440 UYC786440:UYF786440 VHY786440:VIB786440 VRU786440:VRX786440 WBQ786440:WBT786440 WLM786440:WLP786440 WVI786440:WVL786440 IW851976:IZ851976 SS851976:SV851976 ACO851976:ACR851976 AMK851976:AMN851976 AWG851976:AWJ851976 BGC851976:BGF851976 BPY851976:BQB851976 BZU851976:BZX851976 CJQ851976:CJT851976 CTM851976:CTP851976 DDI851976:DDL851976 DNE851976:DNH851976 DXA851976:DXD851976 EGW851976:EGZ851976 EQS851976:EQV851976 FAO851976:FAR851976 FKK851976:FKN851976 FUG851976:FUJ851976 GEC851976:GEF851976 GNY851976:GOB851976 GXU851976:GXX851976 HHQ851976:HHT851976 HRM851976:HRP851976 IBI851976:IBL851976 ILE851976:ILH851976 IVA851976:IVD851976 JEW851976:JEZ851976 JOS851976:JOV851976 JYO851976:JYR851976 KIK851976:KIN851976 KSG851976:KSJ851976 LCC851976:LCF851976 LLY851976:LMB851976 LVU851976:LVX851976 MFQ851976:MFT851976 MPM851976:MPP851976 MZI851976:MZL851976 NJE851976:NJH851976 NTA851976:NTD851976 OCW851976:OCZ851976 OMS851976:OMV851976 OWO851976:OWR851976 PGK851976:PGN851976 PQG851976:PQJ851976 QAC851976:QAF851976 QJY851976:QKB851976 QTU851976:QTX851976 RDQ851976:RDT851976 RNM851976:RNP851976 RXI851976:RXL851976 SHE851976:SHH851976 SRA851976:SRD851976 TAW851976:TAZ851976 TKS851976:TKV851976 TUO851976:TUR851976 UEK851976:UEN851976 UOG851976:UOJ851976 UYC851976:UYF851976 VHY851976:VIB851976 VRU851976:VRX851976 WBQ851976:WBT851976 WLM851976:WLP851976 WVI851976:WVL851976 IW917512:IZ917512 SS917512:SV917512 ACO917512:ACR917512 AMK917512:AMN917512 AWG917512:AWJ917512 BGC917512:BGF917512 BPY917512:BQB917512 BZU917512:BZX917512 CJQ917512:CJT917512 CTM917512:CTP917512 DDI917512:DDL917512 DNE917512:DNH917512 DXA917512:DXD917512 EGW917512:EGZ917512 EQS917512:EQV917512 FAO917512:FAR917512 FKK917512:FKN917512 FUG917512:FUJ917512 GEC917512:GEF917512 GNY917512:GOB917512 GXU917512:GXX917512 HHQ917512:HHT917512 HRM917512:HRP917512 IBI917512:IBL917512 ILE917512:ILH917512 IVA917512:IVD917512 JEW917512:JEZ917512 JOS917512:JOV917512 JYO917512:JYR917512 KIK917512:KIN917512 KSG917512:KSJ917512 LCC917512:LCF917512 LLY917512:LMB917512 LVU917512:LVX917512 MFQ917512:MFT917512 MPM917512:MPP917512 MZI917512:MZL917512 NJE917512:NJH917512 NTA917512:NTD917512 OCW917512:OCZ917512 OMS917512:OMV917512 OWO917512:OWR917512 PGK917512:PGN917512 PQG917512:PQJ917512 QAC917512:QAF917512 QJY917512:QKB917512 QTU917512:QTX917512 RDQ917512:RDT917512 RNM917512:RNP917512 RXI917512:RXL917512 SHE917512:SHH917512 SRA917512:SRD917512 TAW917512:TAZ917512 TKS917512:TKV917512 TUO917512:TUR917512 UEK917512:UEN917512 UOG917512:UOJ917512 UYC917512:UYF917512 VHY917512:VIB917512 VRU917512:VRX917512 WBQ917512:WBT917512 WLM917512:WLP917512 WVI917512:WVL917512 IW983048:IZ983048 SS983048:SV983048 ACO983048:ACR983048 AMK983048:AMN983048 AWG983048:AWJ983048 BGC983048:BGF983048 BPY983048:BQB983048 BZU983048:BZX983048 CJQ983048:CJT983048 CTM983048:CTP983048 DDI983048:DDL983048 DNE983048:DNH983048 DXA983048:DXD983048 EGW983048:EGZ983048 EQS983048:EQV983048 FAO983048:FAR983048 FKK983048:FKN983048 FUG983048:FUJ983048 GEC983048:GEF983048 GNY983048:GOB983048 GXU983048:GXX983048 HHQ983048:HHT983048 HRM983048:HRP983048 IBI983048:IBL983048 ILE983048:ILH983048 IVA983048:IVD983048 JEW983048:JEZ983048 JOS983048:JOV983048 JYO983048:JYR983048 KIK983048:KIN983048 KSG983048:KSJ983048 LCC983048:LCF983048 LLY983048:LMB983048 LVU983048:LVX983048 MFQ983048:MFT983048 MPM983048:MPP983048 MZI983048:MZL983048 NJE983048:NJH983048 NTA983048:NTD983048 OCW983048:OCZ983048 OMS983048:OMV983048 OWO983048:OWR983048 PGK983048:PGN983048 PQG983048:PQJ983048 QAC983048:QAF983048 QJY983048:QKB983048 QTU983048:QTX983048 RDQ983048:RDT983048 RNM983048:RNP983048 RXI983048:RXL983048 SHE983048:SHH983048 SRA983048:SRD983048 TAW983048:TAZ983048 TKS983048:TKV983048 TUO983048:TUR983048 UEK983048:UEN983048 UOG983048:UOJ983048 UYC983048:UYF983048 VHY983048:VIB983048 VRU983048:VRX983048 WBQ983048:WBT983048 WLM983048:WLP983048 B983048:D983048 B917512:D917512 B851976:D851976 B786440:D786440 B720904:D720904 B655368:D655368 B589832:D589832 B524296:D524296 B458760:D458760 B393224:D393224 B327688:D327688 B262152:D262152 B196616:D196616 B131080:D131080 B65544:D65544">
      <formula1>0</formula1>
      <formula2>50</formula2>
    </dataValidation>
  </dataValidations>
  <printOptions horizontalCentered="1"/>
  <pageMargins left="0.70866141732283472" right="0.70866141732283472" top="1.5748031496062993" bottom="0.74803149606299213" header="0.31496062992125984" footer="0.31496062992125984"/>
  <pageSetup paperSize="9" orientation="landscape" r:id="rId1"/>
  <headerFooter>
    <oddFooter>Página &amp;P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8"/>
  <sheetViews>
    <sheetView view="pageBreakPreview" zoomScale="60" zoomScaleNormal="80" workbookViewId="0">
      <selection activeCell="H17" sqref="H17"/>
    </sheetView>
  </sheetViews>
  <sheetFormatPr defaultColWidth="8.7109375" defaultRowHeight="12.75" x14ac:dyDescent="0.2"/>
  <cols>
    <col min="1" max="1" width="8.7109375" style="13"/>
    <col min="2" max="2" width="47.85546875" style="13" customWidth="1"/>
    <col min="3" max="3" width="8.7109375" style="13"/>
    <col min="4" max="4" width="11.42578125" style="13" customWidth="1"/>
    <col min="5" max="5" width="15.5703125" style="13" customWidth="1"/>
    <col min="6" max="6" width="22.140625" style="13" bestFit="1" customWidth="1"/>
    <col min="7" max="7" width="14.42578125" style="13" bestFit="1" customWidth="1"/>
    <col min="8" max="8" width="16.7109375" style="13" customWidth="1"/>
    <col min="9" max="9" width="14.42578125" style="13" bestFit="1" customWidth="1"/>
    <col min="10" max="10" width="13.7109375" style="13" customWidth="1"/>
    <col min="11" max="16384" width="8.7109375" style="13"/>
  </cols>
  <sheetData>
    <row r="1" spans="1:10" ht="91.15" customHeight="1" x14ac:dyDescent="0.2">
      <c r="A1" s="18"/>
      <c r="B1" s="19"/>
      <c r="C1" s="18"/>
      <c r="D1" s="18"/>
      <c r="E1" s="18"/>
      <c r="F1" s="18"/>
      <c r="G1" s="18"/>
      <c r="H1" s="18"/>
      <c r="I1" s="18"/>
      <c r="J1" s="18"/>
    </row>
    <row r="2" spans="1:10" x14ac:dyDescent="0.2">
      <c r="A2" s="567" t="s">
        <v>261</v>
      </c>
      <c r="B2" s="567"/>
      <c r="C2" s="567"/>
      <c r="D2" s="567"/>
      <c r="E2" s="567"/>
      <c r="F2" s="567"/>
      <c r="G2" s="567"/>
      <c r="H2" s="567"/>
      <c r="I2" s="567"/>
      <c r="J2" s="567"/>
    </row>
    <row r="3" spans="1:10" x14ac:dyDescent="0.2">
      <c r="A3" s="20"/>
      <c r="B3" s="20"/>
      <c r="C3" s="20"/>
      <c r="D3" s="20"/>
      <c r="E3" s="20"/>
      <c r="F3" s="20"/>
      <c r="G3" s="20"/>
      <c r="H3" s="20"/>
      <c r="I3" s="20"/>
      <c r="J3" s="20"/>
    </row>
    <row r="4" spans="1:10" x14ac:dyDescent="0.2">
      <c r="A4" s="12" t="s">
        <v>415</v>
      </c>
      <c r="B4" s="21"/>
      <c r="C4" s="20"/>
      <c r="D4" s="20"/>
      <c r="E4" s="20"/>
      <c r="F4" s="20"/>
      <c r="G4" s="18"/>
      <c r="H4" s="18"/>
      <c r="I4" s="18"/>
      <c r="J4" s="18"/>
    </row>
    <row r="5" spans="1:10" ht="13.9" customHeight="1" x14ac:dyDescent="0.2">
      <c r="A5" s="12" t="s">
        <v>372</v>
      </c>
      <c r="B5" s="14"/>
      <c r="C5" s="14"/>
      <c r="D5" s="14"/>
      <c r="E5" s="14"/>
      <c r="F5" s="14"/>
      <c r="G5" s="14"/>
      <c r="H5" s="14"/>
      <c r="I5" s="14"/>
      <c r="J5" s="14"/>
    </row>
    <row r="6" spans="1:10" ht="13.9" customHeight="1" x14ac:dyDescent="0.2">
      <c r="A6" s="13" t="s">
        <v>413</v>
      </c>
      <c r="B6" s="22"/>
      <c r="C6" s="22"/>
      <c r="D6" s="22"/>
      <c r="E6" s="22"/>
      <c r="F6" s="22"/>
      <c r="G6" s="22"/>
      <c r="H6" s="22"/>
      <c r="I6" s="22"/>
      <c r="J6" s="22"/>
    </row>
    <row r="7" spans="1:10" x14ac:dyDescent="0.2">
      <c r="A7" s="570" t="s">
        <v>414</v>
      </c>
      <c r="B7" s="570"/>
      <c r="C7" s="570"/>
      <c r="D7" s="570"/>
      <c r="E7" s="570"/>
      <c r="F7" s="570"/>
      <c r="G7" s="570"/>
      <c r="H7" s="570"/>
      <c r="I7" s="570"/>
      <c r="J7" s="570"/>
    </row>
    <row r="8" spans="1:10" x14ac:dyDescent="0.2">
      <c r="A8" s="15" t="s">
        <v>371</v>
      </c>
      <c r="B8" s="19"/>
      <c r="C8" s="18"/>
      <c r="D8" s="18"/>
      <c r="E8" s="18"/>
      <c r="F8" s="18"/>
      <c r="G8" s="18"/>
      <c r="H8" s="18"/>
      <c r="I8" s="18"/>
      <c r="J8" s="18"/>
    </row>
    <row r="9" spans="1:10" x14ac:dyDescent="0.2">
      <c r="A9" s="23"/>
      <c r="B9" s="23"/>
      <c r="C9" s="23"/>
      <c r="D9" s="23"/>
      <c r="E9" s="23"/>
      <c r="F9" s="23"/>
      <c r="G9" s="23"/>
      <c r="H9" s="23"/>
      <c r="I9" s="23"/>
      <c r="J9" s="23"/>
    </row>
    <row r="10" spans="1:10" x14ac:dyDescent="0.2">
      <c r="A10" s="568" t="s">
        <v>232</v>
      </c>
      <c r="B10" s="569"/>
      <c r="C10" s="569"/>
      <c r="D10" s="569"/>
      <c r="E10" s="569"/>
      <c r="F10" s="569"/>
      <c r="G10" s="569"/>
      <c r="H10" s="569"/>
      <c r="I10" s="569"/>
      <c r="J10" s="569"/>
    </row>
    <row r="11" spans="1:10" ht="69" customHeight="1" x14ac:dyDescent="0.2">
      <c r="A11" s="24" t="s">
        <v>233</v>
      </c>
      <c r="B11" s="24" t="s">
        <v>234</v>
      </c>
      <c r="C11" s="24" t="s">
        <v>235</v>
      </c>
      <c r="D11" s="24" t="s">
        <v>236</v>
      </c>
      <c r="E11" s="24" t="s">
        <v>237</v>
      </c>
      <c r="F11" s="24" t="s">
        <v>238</v>
      </c>
      <c r="G11" s="24" t="s">
        <v>239</v>
      </c>
      <c r="H11" s="24" t="s">
        <v>240</v>
      </c>
      <c r="I11" s="24" t="s">
        <v>241</v>
      </c>
      <c r="J11" s="24" t="s">
        <v>242</v>
      </c>
    </row>
    <row r="12" spans="1:10" ht="38.25" x14ac:dyDescent="0.2">
      <c r="A12" s="25">
        <v>1</v>
      </c>
      <c r="B12" s="26" t="s">
        <v>243</v>
      </c>
      <c r="C12" s="27" t="s">
        <v>244</v>
      </c>
      <c r="D12" s="27">
        <v>1</v>
      </c>
      <c r="E12" s="25">
        <v>5</v>
      </c>
      <c r="F12" s="28">
        <v>0.2</v>
      </c>
      <c r="G12" s="29">
        <v>422.79</v>
      </c>
      <c r="H12" s="29">
        <f>G12*D12</f>
        <v>422.79</v>
      </c>
      <c r="I12" s="46">
        <f t="shared" ref="I12:I29" si="0">ROUND(H12*(1-0.2)/(12*5),2)</f>
        <v>5.64</v>
      </c>
      <c r="J12" s="46">
        <f t="shared" ref="J12:J29" si="1">ROUND(H12*0.005,2)</f>
        <v>2.11</v>
      </c>
    </row>
    <row r="13" spans="1:10" ht="25.5" x14ac:dyDescent="0.2">
      <c r="A13" s="25">
        <v>2</v>
      </c>
      <c r="B13" s="26" t="s">
        <v>245</v>
      </c>
      <c r="C13" s="25" t="s">
        <v>244</v>
      </c>
      <c r="D13" s="25">
        <v>10</v>
      </c>
      <c r="E13" s="25">
        <v>5</v>
      </c>
      <c r="F13" s="28">
        <v>0.2</v>
      </c>
      <c r="G13" s="29">
        <v>44.27</v>
      </c>
      <c r="H13" s="29">
        <f>G13*D13</f>
        <v>442.70000000000005</v>
      </c>
      <c r="I13" s="46">
        <f t="shared" si="0"/>
        <v>5.9</v>
      </c>
      <c r="J13" s="46">
        <f t="shared" si="1"/>
        <v>2.21</v>
      </c>
    </row>
    <row r="14" spans="1:10" ht="38.25" x14ac:dyDescent="0.2">
      <c r="A14" s="25">
        <v>3</v>
      </c>
      <c r="B14" s="30" t="s">
        <v>246</v>
      </c>
      <c r="C14" s="27" t="s">
        <v>244</v>
      </c>
      <c r="D14" s="27">
        <v>20</v>
      </c>
      <c r="E14" s="27">
        <v>5</v>
      </c>
      <c r="F14" s="31">
        <v>0.2</v>
      </c>
      <c r="G14" s="29">
        <v>380.33</v>
      </c>
      <c r="H14" s="29">
        <f t="shared" ref="H14:H29" si="2">G14*D14</f>
        <v>7606.5999999999995</v>
      </c>
      <c r="I14" s="46">
        <f t="shared" si="0"/>
        <v>101.42</v>
      </c>
      <c r="J14" s="46">
        <f t="shared" si="1"/>
        <v>38.03</v>
      </c>
    </row>
    <row r="15" spans="1:10" ht="51" x14ac:dyDescent="0.2">
      <c r="A15" s="25">
        <v>4</v>
      </c>
      <c r="B15" s="26" t="s">
        <v>247</v>
      </c>
      <c r="C15" s="27" t="s">
        <v>244</v>
      </c>
      <c r="D15" s="27">
        <v>1</v>
      </c>
      <c r="E15" s="27">
        <v>5</v>
      </c>
      <c r="F15" s="31">
        <v>0.2</v>
      </c>
      <c r="G15" s="29">
        <v>280.94</v>
      </c>
      <c r="H15" s="29">
        <f t="shared" si="2"/>
        <v>280.94</v>
      </c>
      <c r="I15" s="46">
        <f t="shared" si="0"/>
        <v>3.75</v>
      </c>
      <c r="J15" s="46">
        <f t="shared" si="1"/>
        <v>1.4</v>
      </c>
    </row>
    <row r="16" spans="1:10" ht="89.25" x14ac:dyDescent="0.2">
      <c r="A16" s="25">
        <v>5</v>
      </c>
      <c r="B16" s="26" t="s">
        <v>248</v>
      </c>
      <c r="C16" s="27" t="s">
        <v>244</v>
      </c>
      <c r="D16" s="27">
        <v>12</v>
      </c>
      <c r="E16" s="27">
        <v>5</v>
      </c>
      <c r="F16" s="31">
        <v>0.2</v>
      </c>
      <c r="G16" s="29">
        <v>720.75</v>
      </c>
      <c r="H16" s="29">
        <f t="shared" si="2"/>
        <v>8649</v>
      </c>
      <c r="I16" s="46">
        <f t="shared" si="0"/>
        <v>115.32</v>
      </c>
      <c r="J16" s="46">
        <f t="shared" si="1"/>
        <v>43.25</v>
      </c>
    </row>
    <row r="17" spans="1:10" ht="25.5" x14ac:dyDescent="0.2">
      <c r="A17" s="25">
        <v>6</v>
      </c>
      <c r="B17" s="26" t="s">
        <v>249</v>
      </c>
      <c r="C17" s="27" t="s">
        <v>244</v>
      </c>
      <c r="D17" s="27">
        <v>2</v>
      </c>
      <c r="E17" s="27">
        <v>5</v>
      </c>
      <c r="F17" s="31">
        <v>0.2</v>
      </c>
      <c r="G17" s="29">
        <v>158.29</v>
      </c>
      <c r="H17" s="29">
        <f t="shared" si="2"/>
        <v>316.58</v>
      </c>
      <c r="I17" s="46">
        <f t="shared" si="0"/>
        <v>4.22</v>
      </c>
      <c r="J17" s="46">
        <f t="shared" si="1"/>
        <v>1.58</v>
      </c>
    </row>
    <row r="18" spans="1:10" ht="63.75" x14ac:dyDescent="0.2">
      <c r="A18" s="25">
        <v>7</v>
      </c>
      <c r="B18" s="26" t="s">
        <v>251</v>
      </c>
      <c r="C18" s="25" t="s">
        <v>244</v>
      </c>
      <c r="D18" s="25">
        <v>4</v>
      </c>
      <c r="E18" s="27">
        <v>5</v>
      </c>
      <c r="F18" s="31">
        <v>0.2</v>
      </c>
      <c r="G18" s="29">
        <v>548.34</v>
      </c>
      <c r="H18" s="29">
        <f t="shared" si="2"/>
        <v>2193.36</v>
      </c>
      <c r="I18" s="46">
        <f t="shared" si="0"/>
        <v>29.24</v>
      </c>
      <c r="J18" s="46">
        <f t="shared" si="1"/>
        <v>10.97</v>
      </c>
    </row>
    <row r="19" spans="1:10" ht="63.75" x14ac:dyDescent="0.2">
      <c r="A19" s="25">
        <v>8</v>
      </c>
      <c r="B19" s="30" t="s">
        <v>252</v>
      </c>
      <c r="C19" s="27" t="s">
        <v>244</v>
      </c>
      <c r="D19" s="27">
        <v>2</v>
      </c>
      <c r="E19" s="27">
        <v>5</v>
      </c>
      <c r="F19" s="31">
        <v>0.2</v>
      </c>
      <c r="G19" s="29">
        <v>2119.4</v>
      </c>
      <c r="H19" s="29">
        <f t="shared" si="2"/>
        <v>4238.8</v>
      </c>
      <c r="I19" s="46">
        <f t="shared" si="0"/>
        <v>56.52</v>
      </c>
      <c r="J19" s="46">
        <f t="shared" si="1"/>
        <v>21.19</v>
      </c>
    </row>
    <row r="20" spans="1:10" x14ac:dyDescent="0.2">
      <c r="A20" s="25">
        <v>9</v>
      </c>
      <c r="B20" s="30" t="s">
        <v>253</v>
      </c>
      <c r="C20" s="27" t="s">
        <v>244</v>
      </c>
      <c r="D20" s="27">
        <v>2</v>
      </c>
      <c r="E20" s="27">
        <v>5</v>
      </c>
      <c r="F20" s="31">
        <v>0.2</v>
      </c>
      <c r="G20" s="29">
        <v>35.33</v>
      </c>
      <c r="H20" s="29">
        <f t="shared" si="2"/>
        <v>70.66</v>
      </c>
      <c r="I20" s="46">
        <f t="shared" si="0"/>
        <v>0.94</v>
      </c>
      <c r="J20" s="46">
        <f t="shared" si="1"/>
        <v>0.35</v>
      </c>
    </row>
    <row r="21" spans="1:10" x14ac:dyDescent="0.2">
      <c r="A21" s="25">
        <v>10</v>
      </c>
      <c r="B21" s="30" t="s">
        <v>254</v>
      </c>
      <c r="C21" s="27" t="s">
        <v>244</v>
      </c>
      <c r="D21" s="27">
        <v>2</v>
      </c>
      <c r="E21" s="27">
        <v>5</v>
      </c>
      <c r="F21" s="31">
        <v>0.2</v>
      </c>
      <c r="G21" s="29">
        <v>235.04</v>
      </c>
      <c r="H21" s="29">
        <f t="shared" si="2"/>
        <v>470.08</v>
      </c>
      <c r="I21" s="46">
        <f t="shared" si="0"/>
        <v>6.27</v>
      </c>
      <c r="J21" s="46">
        <f t="shared" si="1"/>
        <v>2.35</v>
      </c>
    </row>
    <row r="22" spans="1:10" ht="89.25" x14ac:dyDescent="0.2">
      <c r="A22" s="25">
        <v>11</v>
      </c>
      <c r="B22" s="26" t="s">
        <v>255</v>
      </c>
      <c r="C22" s="27" t="s">
        <v>244</v>
      </c>
      <c r="D22" s="27">
        <v>1</v>
      </c>
      <c r="E22" s="25">
        <v>5</v>
      </c>
      <c r="F22" s="28">
        <v>0.2</v>
      </c>
      <c r="G22" s="29">
        <v>2289.17</v>
      </c>
      <c r="H22" s="29">
        <f t="shared" si="2"/>
        <v>2289.17</v>
      </c>
      <c r="I22" s="46">
        <f t="shared" si="0"/>
        <v>30.52</v>
      </c>
      <c r="J22" s="46">
        <f t="shared" si="1"/>
        <v>11.45</v>
      </c>
    </row>
    <row r="23" spans="1:10" ht="38.25" x14ac:dyDescent="0.2">
      <c r="A23" s="25">
        <v>12</v>
      </c>
      <c r="B23" s="26" t="s">
        <v>256</v>
      </c>
      <c r="C23" s="25" t="s">
        <v>244</v>
      </c>
      <c r="D23" s="25">
        <v>1</v>
      </c>
      <c r="E23" s="25">
        <v>5</v>
      </c>
      <c r="F23" s="28">
        <v>0.2</v>
      </c>
      <c r="G23" s="29">
        <v>2443.33</v>
      </c>
      <c r="H23" s="29">
        <f t="shared" si="2"/>
        <v>2443.33</v>
      </c>
      <c r="I23" s="46">
        <f t="shared" si="0"/>
        <v>32.58</v>
      </c>
      <c r="J23" s="46">
        <f t="shared" si="1"/>
        <v>12.22</v>
      </c>
    </row>
    <row r="24" spans="1:10" ht="25.5" x14ac:dyDescent="0.2">
      <c r="A24" s="25">
        <v>13</v>
      </c>
      <c r="B24" s="30" t="s">
        <v>257</v>
      </c>
      <c r="C24" s="27" t="s">
        <v>244</v>
      </c>
      <c r="D24" s="27">
        <v>2</v>
      </c>
      <c r="E24" s="27">
        <v>5</v>
      </c>
      <c r="F24" s="31">
        <v>0.2</v>
      </c>
      <c r="G24" s="29">
        <v>30.62</v>
      </c>
      <c r="H24" s="29">
        <f t="shared" si="2"/>
        <v>61.24</v>
      </c>
      <c r="I24" s="46">
        <f t="shared" si="0"/>
        <v>0.82</v>
      </c>
      <c r="J24" s="46">
        <f t="shared" si="1"/>
        <v>0.31</v>
      </c>
    </row>
    <row r="25" spans="1:10" ht="76.5" x14ac:dyDescent="0.2">
      <c r="A25" s="25">
        <v>14</v>
      </c>
      <c r="B25" s="26" t="s">
        <v>258</v>
      </c>
      <c r="C25" s="25" t="s">
        <v>244</v>
      </c>
      <c r="D25" s="25">
        <v>2</v>
      </c>
      <c r="E25" s="25">
        <v>5</v>
      </c>
      <c r="F25" s="28">
        <v>0.2</v>
      </c>
      <c r="G25" s="29">
        <v>6.67</v>
      </c>
      <c r="H25" s="29">
        <f t="shared" si="2"/>
        <v>13.34</v>
      </c>
      <c r="I25" s="46">
        <f t="shared" si="0"/>
        <v>0.18</v>
      </c>
      <c r="J25" s="46">
        <f t="shared" si="1"/>
        <v>7.0000000000000007E-2</v>
      </c>
    </row>
    <row r="26" spans="1:10" ht="51" x14ac:dyDescent="0.2">
      <c r="A26" s="25">
        <v>15</v>
      </c>
      <c r="B26" s="30" t="s">
        <v>373</v>
      </c>
      <c r="C26" s="32" t="s">
        <v>244</v>
      </c>
      <c r="D26" s="32">
        <v>2</v>
      </c>
      <c r="E26" s="25">
        <v>5</v>
      </c>
      <c r="F26" s="28">
        <v>0.2</v>
      </c>
      <c r="G26" s="29">
        <v>31.86</v>
      </c>
      <c r="H26" s="29">
        <f t="shared" si="2"/>
        <v>63.72</v>
      </c>
      <c r="I26" s="46">
        <f t="shared" si="0"/>
        <v>0.85</v>
      </c>
      <c r="J26" s="46">
        <f t="shared" si="1"/>
        <v>0.32</v>
      </c>
    </row>
    <row r="27" spans="1:10" ht="89.25" x14ac:dyDescent="0.2">
      <c r="A27" s="25">
        <v>16</v>
      </c>
      <c r="B27" s="26" t="s">
        <v>342</v>
      </c>
      <c r="C27" s="27" t="s">
        <v>244</v>
      </c>
      <c r="D27" s="25">
        <v>1</v>
      </c>
      <c r="E27" s="27">
        <v>5</v>
      </c>
      <c r="F27" s="31">
        <v>0.2</v>
      </c>
      <c r="G27" s="29">
        <v>1178.8</v>
      </c>
      <c r="H27" s="29">
        <f t="shared" si="2"/>
        <v>1178.8</v>
      </c>
      <c r="I27" s="46">
        <f t="shared" si="0"/>
        <v>15.72</v>
      </c>
      <c r="J27" s="46">
        <f t="shared" si="1"/>
        <v>5.89</v>
      </c>
    </row>
    <row r="28" spans="1:10" ht="51" x14ac:dyDescent="0.2">
      <c r="A28" s="25">
        <v>17</v>
      </c>
      <c r="B28" s="26" t="s">
        <v>259</v>
      </c>
      <c r="C28" s="27" t="s">
        <v>244</v>
      </c>
      <c r="D28" s="27">
        <v>2</v>
      </c>
      <c r="E28" s="25">
        <v>5</v>
      </c>
      <c r="F28" s="28">
        <v>0.2</v>
      </c>
      <c r="G28" s="29">
        <v>2250.67</v>
      </c>
      <c r="H28" s="29">
        <f t="shared" si="2"/>
        <v>4501.34</v>
      </c>
      <c r="I28" s="46">
        <f t="shared" si="0"/>
        <v>60.02</v>
      </c>
      <c r="J28" s="46">
        <f t="shared" si="1"/>
        <v>22.51</v>
      </c>
    </row>
    <row r="29" spans="1:10" x14ac:dyDescent="0.2">
      <c r="A29" s="25">
        <v>18</v>
      </c>
      <c r="B29" s="26" t="s">
        <v>250</v>
      </c>
      <c r="C29" s="25" t="s">
        <v>244</v>
      </c>
      <c r="D29" s="25">
        <v>2</v>
      </c>
      <c r="E29" s="25">
        <v>5</v>
      </c>
      <c r="F29" s="28">
        <v>0.2</v>
      </c>
      <c r="G29" s="29">
        <v>194</v>
      </c>
      <c r="H29" s="29">
        <f t="shared" si="2"/>
        <v>388</v>
      </c>
      <c r="I29" s="46">
        <f t="shared" si="0"/>
        <v>5.17</v>
      </c>
      <c r="J29" s="46">
        <f t="shared" si="1"/>
        <v>1.94</v>
      </c>
    </row>
    <row r="30" spans="1:10" x14ac:dyDescent="0.2">
      <c r="A30" s="571" t="s">
        <v>380</v>
      </c>
      <c r="B30" s="572"/>
      <c r="C30" s="572"/>
      <c r="D30" s="572"/>
      <c r="E30" s="572"/>
      <c r="F30" s="572"/>
      <c r="G30" s="573"/>
      <c r="H30" s="35">
        <f>SUM(H12:H29)</f>
        <v>35630.450000000004</v>
      </c>
      <c r="I30" s="34">
        <f>SUM(I12,I13,I14,I15,I16,I17,I18,I19,I20,I21,I22,I23,I24,I25,I26,I27,I28,I29)</f>
        <v>475.08</v>
      </c>
      <c r="J30" s="34">
        <f>SUM(J12,J13,J14,J15,J16,J17,J18,J19,J20,J21,J22,J23,J24,J25,J26,J27,J28,J29)</f>
        <v>178.14999999999995</v>
      </c>
    </row>
    <row r="31" spans="1:10" ht="13.15" customHeight="1" x14ac:dyDescent="0.2">
      <c r="A31" s="571" t="s">
        <v>378</v>
      </c>
      <c r="B31" s="572"/>
      <c r="C31" s="572"/>
      <c r="D31" s="572"/>
      <c r="E31" s="572"/>
      <c r="F31" s="572"/>
      <c r="G31" s="572"/>
      <c r="H31" s="572"/>
      <c r="I31" s="573"/>
      <c r="J31" s="204">
        <f>SUM(I30,J30)</f>
        <v>653.2299999999999</v>
      </c>
    </row>
    <row r="32" spans="1:10" ht="13.15" customHeight="1" x14ac:dyDescent="0.2">
      <c r="A32" s="571" t="s">
        <v>406</v>
      </c>
      <c r="B32" s="572"/>
      <c r="C32" s="572"/>
      <c r="D32" s="572"/>
      <c r="E32" s="572"/>
      <c r="F32" s="572"/>
      <c r="G32" s="572"/>
      <c r="H32" s="572"/>
      <c r="I32" s="573"/>
      <c r="J32" s="204">
        <f>J31/30</f>
        <v>21.774333333333331</v>
      </c>
    </row>
    <row r="34" spans="1:8" ht="13.15" customHeight="1" x14ac:dyDescent="0.2">
      <c r="A34" s="563" t="s">
        <v>262</v>
      </c>
      <c r="B34" s="563"/>
      <c r="C34" s="563"/>
      <c r="D34" s="563"/>
      <c r="E34" s="563"/>
      <c r="F34" s="563"/>
      <c r="G34" s="315"/>
      <c r="H34" s="315"/>
    </row>
    <row r="35" spans="1:8" ht="25.5" x14ac:dyDescent="0.2">
      <c r="A35" s="24" t="s">
        <v>233</v>
      </c>
      <c r="B35" s="33" t="s">
        <v>234</v>
      </c>
      <c r="C35" s="24" t="s">
        <v>235</v>
      </c>
      <c r="D35" s="24" t="s">
        <v>236</v>
      </c>
      <c r="E35" s="24" t="s">
        <v>239</v>
      </c>
      <c r="F35" s="24" t="s">
        <v>240</v>
      </c>
      <c r="G35" s="316"/>
      <c r="H35" s="316"/>
    </row>
    <row r="36" spans="1:8" x14ac:dyDescent="0.2">
      <c r="A36" s="27">
        <v>1</v>
      </c>
      <c r="B36" s="30" t="s">
        <v>343</v>
      </c>
      <c r="C36" s="27" t="s">
        <v>263</v>
      </c>
      <c r="D36" s="27">
        <v>10</v>
      </c>
      <c r="E36" s="34">
        <v>2.81</v>
      </c>
      <c r="F36" s="34">
        <f>E36*D36</f>
        <v>28.1</v>
      </c>
      <c r="G36" s="317"/>
      <c r="H36" s="317"/>
    </row>
    <row r="37" spans="1:8" x14ac:dyDescent="0.2">
      <c r="A37" s="32">
        <v>2</v>
      </c>
      <c r="B37" s="30" t="s">
        <v>344</v>
      </c>
      <c r="C37" s="27" t="s">
        <v>263</v>
      </c>
      <c r="D37" s="27">
        <v>10</v>
      </c>
      <c r="E37" s="34">
        <v>2.87</v>
      </c>
      <c r="F37" s="34">
        <f t="shared" ref="F37:F75" si="3">E37*D37</f>
        <v>28.700000000000003</v>
      </c>
      <c r="G37" s="317"/>
      <c r="H37" s="317"/>
    </row>
    <row r="38" spans="1:8" ht="38.25" x14ac:dyDescent="0.2">
      <c r="A38" s="27">
        <v>3</v>
      </c>
      <c r="B38" s="30" t="s">
        <v>345</v>
      </c>
      <c r="C38" s="32" t="s">
        <v>244</v>
      </c>
      <c r="D38" s="32">
        <v>4</v>
      </c>
      <c r="E38" s="34">
        <v>34.22</v>
      </c>
      <c r="F38" s="34">
        <f t="shared" si="3"/>
        <v>136.88</v>
      </c>
      <c r="G38" s="317"/>
      <c r="H38" s="317"/>
    </row>
    <row r="39" spans="1:8" ht="38.25" x14ac:dyDescent="0.2">
      <c r="A39" s="32">
        <v>4</v>
      </c>
      <c r="B39" s="312" t="s">
        <v>264</v>
      </c>
      <c r="C39" s="25" t="s">
        <v>244</v>
      </c>
      <c r="D39" s="25">
        <v>30</v>
      </c>
      <c r="E39" s="34">
        <v>22.97</v>
      </c>
      <c r="F39" s="34">
        <f t="shared" si="3"/>
        <v>689.09999999999991</v>
      </c>
      <c r="G39" s="317"/>
      <c r="H39" s="317"/>
    </row>
    <row r="40" spans="1:8" x14ac:dyDescent="0.2">
      <c r="A40" s="27">
        <v>5</v>
      </c>
      <c r="B40" s="312" t="s">
        <v>265</v>
      </c>
      <c r="C40" s="25" t="s">
        <v>244</v>
      </c>
      <c r="D40" s="25">
        <v>30</v>
      </c>
      <c r="E40" s="34">
        <v>13.33</v>
      </c>
      <c r="F40" s="34">
        <f t="shared" si="3"/>
        <v>399.9</v>
      </c>
      <c r="G40" s="317"/>
      <c r="H40" s="317"/>
    </row>
    <row r="41" spans="1:8" ht="25.5" x14ac:dyDescent="0.2">
      <c r="A41" s="32">
        <v>6</v>
      </c>
      <c r="B41" s="312" t="s">
        <v>266</v>
      </c>
      <c r="C41" s="25" t="s">
        <v>244</v>
      </c>
      <c r="D41" s="25">
        <v>40</v>
      </c>
      <c r="E41" s="34">
        <v>18.48</v>
      </c>
      <c r="F41" s="34">
        <f t="shared" si="3"/>
        <v>739.2</v>
      </c>
      <c r="G41" s="317"/>
      <c r="H41" s="317"/>
    </row>
    <row r="42" spans="1:8" ht="51" x14ac:dyDescent="0.2">
      <c r="A42" s="27">
        <v>7</v>
      </c>
      <c r="B42" s="312" t="s">
        <v>358</v>
      </c>
      <c r="C42" s="25" t="s">
        <v>244</v>
      </c>
      <c r="D42" s="25">
        <v>1</v>
      </c>
      <c r="E42" s="34">
        <v>291.52999999999997</v>
      </c>
      <c r="F42" s="34">
        <f t="shared" si="3"/>
        <v>291.52999999999997</v>
      </c>
      <c r="G42" s="317"/>
      <c r="H42" s="317"/>
    </row>
    <row r="43" spans="1:8" ht="38.25" x14ac:dyDescent="0.2">
      <c r="A43" s="32">
        <v>8</v>
      </c>
      <c r="B43" s="312" t="s">
        <v>267</v>
      </c>
      <c r="C43" s="25" t="s">
        <v>244</v>
      </c>
      <c r="D43" s="25">
        <v>2</v>
      </c>
      <c r="E43" s="34">
        <v>6.45</v>
      </c>
      <c r="F43" s="34">
        <f t="shared" si="3"/>
        <v>12.9</v>
      </c>
      <c r="G43" s="317"/>
      <c r="H43" s="317"/>
    </row>
    <row r="44" spans="1:8" ht="38.25" x14ac:dyDescent="0.2">
      <c r="A44" s="27">
        <v>9</v>
      </c>
      <c r="B44" s="312" t="s">
        <v>268</v>
      </c>
      <c r="C44" s="25" t="s">
        <v>244</v>
      </c>
      <c r="D44" s="25">
        <v>2</v>
      </c>
      <c r="E44" s="34">
        <v>10.72</v>
      </c>
      <c r="F44" s="34">
        <f t="shared" si="3"/>
        <v>21.44</v>
      </c>
      <c r="G44" s="317"/>
      <c r="H44" s="317"/>
    </row>
    <row r="45" spans="1:8" ht="25.5" x14ac:dyDescent="0.2">
      <c r="A45" s="32">
        <v>10</v>
      </c>
      <c r="B45" s="312" t="s">
        <v>269</v>
      </c>
      <c r="C45" s="25" t="s">
        <v>263</v>
      </c>
      <c r="D45" s="25">
        <v>150</v>
      </c>
      <c r="E45" s="34">
        <v>23.08</v>
      </c>
      <c r="F45" s="34">
        <f t="shared" si="3"/>
        <v>3461.9999999999995</v>
      </c>
      <c r="G45" s="317"/>
      <c r="H45" s="317"/>
    </row>
    <row r="46" spans="1:8" ht="38.25" x14ac:dyDescent="0.2">
      <c r="A46" s="27">
        <v>11</v>
      </c>
      <c r="B46" s="30" t="s">
        <v>270</v>
      </c>
      <c r="C46" s="27" t="s">
        <v>263</v>
      </c>
      <c r="D46" s="27">
        <v>150</v>
      </c>
      <c r="E46" s="34">
        <v>24.6</v>
      </c>
      <c r="F46" s="34">
        <f t="shared" si="3"/>
        <v>3690</v>
      </c>
      <c r="G46" s="317"/>
      <c r="H46" s="317"/>
    </row>
    <row r="47" spans="1:8" ht="76.5" x14ac:dyDescent="0.2">
      <c r="A47" s="32">
        <v>12</v>
      </c>
      <c r="B47" s="30" t="s">
        <v>271</v>
      </c>
      <c r="C47" s="27" t="s">
        <v>263</v>
      </c>
      <c r="D47" s="27">
        <v>150</v>
      </c>
      <c r="E47" s="34">
        <v>29.31</v>
      </c>
      <c r="F47" s="34">
        <f t="shared" si="3"/>
        <v>4396.5</v>
      </c>
      <c r="G47" s="317"/>
      <c r="H47" s="317"/>
    </row>
    <row r="48" spans="1:8" ht="38.25" x14ac:dyDescent="0.2">
      <c r="A48" s="27">
        <v>13</v>
      </c>
      <c r="B48" s="312" t="s">
        <v>272</v>
      </c>
      <c r="C48" s="25" t="s">
        <v>244</v>
      </c>
      <c r="D48" s="25">
        <v>5</v>
      </c>
      <c r="E48" s="34">
        <v>88.65</v>
      </c>
      <c r="F48" s="34">
        <f t="shared" si="3"/>
        <v>443.25</v>
      </c>
      <c r="G48" s="317"/>
      <c r="H48" s="317"/>
    </row>
    <row r="49" spans="1:8" ht="38.25" x14ac:dyDescent="0.2">
      <c r="A49" s="32">
        <v>14</v>
      </c>
      <c r="B49" s="312" t="s">
        <v>273</v>
      </c>
      <c r="C49" s="25" t="s">
        <v>244</v>
      </c>
      <c r="D49" s="25">
        <v>5</v>
      </c>
      <c r="E49" s="34">
        <v>16.91</v>
      </c>
      <c r="F49" s="34">
        <f t="shared" si="3"/>
        <v>84.55</v>
      </c>
      <c r="G49" s="317"/>
      <c r="H49" s="317"/>
    </row>
    <row r="50" spans="1:8" ht="25.5" x14ac:dyDescent="0.2">
      <c r="A50" s="27">
        <v>15</v>
      </c>
      <c r="B50" s="312" t="s">
        <v>374</v>
      </c>
      <c r="C50" s="27" t="s">
        <v>244</v>
      </c>
      <c r="D50" s="27">
        <v>20</v>
      </c>
      <c r="E50" s="34">
        <v>5.81</v>
      </c>
      <c r="F50" s="34">
        <f t="shared" si="3"/>
        <v>116.19999999999999</v>
      </c>
      <c r="G50" s="317"/>
      <c r="H50" s="317"/>
    </row>
    <row r="51" spans="1:8" x14ac:dyDescent="0.2">
      <c r="A51" s="32">
        <v>16</v>
      </c>
      <c r="B51" s="30" t="s">
        <v>274</v>
      </c>
      <c r="C51" s="27" t="s">
        <v>244</v>
      </c>
      <c r="D51" s="27">
        <v>20</v>
      </c>
      <c r="E51" s="34">
        <v>14.27</v>
      </c>
      <c r="F51" s="34">
        <f t="shared" si="3"/>
        <v>285.39999999999998</v>
      </c>
      <c r="G51" s="317"/>
      <c r="H51" s="317"/>
    </row>
    <row r="52" spans="1:8" x14ac:dyDescent="0.2">
      <c r="A52" s="27">
        <v>17</v>
      </c>
      <c r="B52" s="30" t="s">
        <v>346</v>
      </c>
      <c r="C52" s="27" t="s">
        <v>244</v>
      </c>
      <c r="D52" s="27">
        <v>20</v>
      </c>
      <c r="E52" s="34">
        <v>11.93</v>
      </c>
      <c r="F52" s="34">
        <f t="shared" si="3"/>
        <v>238.6</v>
      </c>
      <c r="G52" s="317"/>
      <c r="H52" s="317"/>
    </row>
    <row r="53" spans="1:8" x14ac:dyDescent="0.2">
      <c r="A53" s="32">
        <v>18</v>
      </c>
      <c r="B53" s="30" t="s">
        <v>275</v>
      </c>
      <c r="C53" s="27" t="s">
        <v>244</v>
      </c>
      <c r="D53" s="27">
        <v>2</v>
      </c>
      <c r="E53" s="34">
        <v>10.07</v>
      </c>
      <c r="F53" s="34">
        <f t="shared" si="3"/>
        <v>20.14</v>
      </c>
      <c r="G53" s="317"/>
      <c r="H53" s="317"/>
    </row>
    <row r="54" spans="1:8" ht="25.5" x14ac:dyDescent="0.2">
      <c r="A54" s="27">
        <v>19</v>
      </c>
      <c r="B54" s="312" t="s">
        <v>276</v>
      </c>
      <c r="C54" s="25" t="s">
        <v>244</v>
      </c>
      <c r="D54" s="25">
        <v>2</v>
      </c>
      <c r="E54" s="34">
        <v>165.67</v>
      </c>
      <c r="F54" s="34">
        <f t="shared" si="3"/>
        <v>331.34</v>
      </c>
      <c r="G54" s="317"/>
      <c r="H54" s="317"/>
    </row>
    <row r="55" spans="1:8" x14ac:dyDescent="0.2">
      <c r="A55" s="32">
        <v>20</v>
      </c>
      <c r="B55" s="312" t="s">
        <v>277</v>
      </c>
      <c r="C55" s="25" t="s">
        <v>244</v>
      </c>
      <c r="D55" s="32">
        <v>2</v>
      </c>
      <c r="E55" s="34">
        <v>29.51</v>
      </c>
      <c r="F55" s="34">
        <f t="shared" si="3"/>
        <v>59.02</v>
      </c>
      <c r="G55" s="317"/>
      <c r="H55" s="317"/>
    </row>
    <row r="56" spans="1:8" ht="25.5" x14ac:dyDescent="0.2">
      <c r="A56" s="27">
        <v>21</v>
      </c>
      <c r="B56" s="30" t="s">
        <v>354</v>
      </c>
      <c r="C56" s="27" t="s">
        <v>244</v>
      </c>
      <c r="D56" s="27">
        <v>5</v>
      </c>
      <c r="E56" s="34">
        <v>156.71</v>
      </c>
      <c r="F56" s="34">
        <f t="shared" si="3"/>
        <v>783.55000000000007</v>
      </c>
      <c r="G56" s="317"/>
      <c r="H56" s="317"/>
    </row>
    <row r="57" spans="1:8" x14ac:dyDescent="0.2">
      <c r="A57" s="32">
        <v>22</v>
      </c>
      <c r="B57" s="312" t="s">
        <v>278</v>
      </c>
      <c r="C57" s="25" t="s">
        <v>244</v>
      </c>
      <c r="D57" s="36">
        <v>5</v>
      </c>
      <c r="E57" s="34">
        <v>8.69</v>
      </c>
      <c r="F57" s="34">
        <f t="shared" si="3"/>
        <v>43.449999999999996</v>
      </c>
      <c r="G57" s="317"/>
      <c r="H57" s="317"/>
    </row>
    <row r="58" spans="1:8" x14ac:dyDescent="0.2">
      <c r="A58" s="27">
        <v>23</v>
      </c>
      <c r="B58" s="30" t="s">
        <v>279</v>
      </c>
      <c r="C58" s="27" t="s">
        <v>244</v>
      </c>
      <c r="D58" s="27">
        <v>5</v>
      </c>
      <c r="E58" s="34">
        <v>10.15</v>
      </c>
      <c r="F58" s="34">
        <f t="shared" si="3"/>
        <v>50.75</v>
      </c>
      <c r="G58" s="317"/>
      <c r="H58" s="317"/>
    </row>
    <row r="59" spans="1:8" x14ac:dyDescent="0.2">
      <c r="A59" s="32">
        <v>24</v>
      </c>
      <c r="B59" s="312" t="s">
        <v>280</v>
      </c>
      <c r="C59" s="25" t="s">
        <v>244</v>
      </c>
      <c r="D59" s="25">
        <v>250</v>
      </c>
      <c r="E59" s="34">
        <v>48.03</v>
      </c>
      <c r="F59" s="34">
        <f t="shared" si="3"/>
        <v>12007.5</v>
      </c>
      <c r="G59" s="317"/>
      <c r="H59" s="317"/>
    </row>
    <row r="60" spans="1:8" x14ac:dyDescent="0.2">
      <c r="A60" s="27">
        <v>25</v>
      </c>
      <c r="B60" s="312" t="s">
        <v>281</v>
      </c>
      <c r="C60" s="25" t="s">
        <v>244</v>
      </c>
      <c r="D60" s="25">
        <v>50</v>
      </c>
      <c r="E60" s="34">
        <v>51.45</v>
      </c>
      <c r="F60" s="34">
        <f t="shared" si="3"/>
        <v>2572.5</v>
      </c>
      <c r="G60" s="317"/>
      <c r="H60" s="317"/>
    </row>
    <row r="61" spans="1:8" x14ac:dyDescent="0.2">
      <c r="A61" s="32">
        <v>26</v>
      </c>
      <c r="B61" s="312" t="s">
        <v>282</v>
      </c>
      <c r="C61" s="25" t="s">
        <v>244</v>
      </c>
      <c r="D61" s="25">
        <v>20</v>
      </c>
      <c r="E61" s="34">
        <v>74.67</v>
      </c>
      <c r="F61" s="34">
        <f t="shared" si="3"/>
        <v>1493.4</v>
      </c>
      <c r="G61" s="317"/>
      <c r="H61" s="317"/>
    </row>
    <row r="62" spans="1:8" ht="89.25" x14ac:dyDescent="0.2">
      <c r="A62" s="27">
        <v>27</v>
      </c>
      <c r="B62" s="312" t="s">
        <v>283</v>
      </c>
      <c r="C62" s="25" t="s">
        <v>284</v>
      </c>
      <c r="D62" s="32">
        <v>10</v>
      </c>
      <c r="E62" s="34">
        <v>33.96</v>
      </c>
      <c r="F62" s="34">
        <f t="shared" si="3"/>
        <v>339.6</v>
      </c>
      <c r="G62" s="317"/>
      <c r="H62" s="317"/>
    </row>
    <row r="63" spans="1:8" ht="38.25" x14ac:dyDescent="0.2">
      <c r="A63" s="32">
        <v>28</v>
      </c>
      <c r="B63" s="312" t="s">
        <v>285</v>
      </c>
      <c r="C63" s="25" t="s">
        <v>244</v>
      </c>
      <c r="D63" s="25">
        <v>2</v>
      </c>
      <c r="E63" s="34">
        <v>272.22000000000003</v>
      </c>
      <c r="F63" s="34">
        <f t="shared" si="3"/>
        <v>544.44000000000005</v>
      </c>
      <c r="G63" s="317"/>
      <c r="H63" s="317"/>
    </row>
    <row r="64" spans="1:8" x14ac:dyDescent="0.2">
      <c r="A64" s="27">
        <v>29</v>
      </c>
      <c r="B64" s="30" t="s">
        <v>286</v>
      </c>
      <c r="C64" s="27" t="s">
        <v>244</v>
      </c>
      <c r="D64" s="27">
        <v>4</v>
      </c>
      <c r="E64" s="34">
        <v>181.83</v>
      </c>
      <c r="F64" s="34">
        <f t="shared" si="3"/>
        <v>727.32</v>
      </c>
      <c r="G64" s="317"/>
      <c r="H64" s="317"/>
    </row>
    <row r="65" spans="1:9" x14ac:dyDescent="0.2">
      <c r="A65" s="32">
        <v>30</v>
      </c>
      <c r="B65" s="312" t="s">
        <v>287</v>
      </c>
      <c r="C65" s="25" t="s">
        <v>244</v>
      </c>
      <c r="D65" s="25">
        <v>4</v>
      </c>
      <c r="E65" s="34">
        <v>196.39</v>
      </c>
      <c r="F65" s="34">
        <f t="shared" si="3"/>
        <v>785.56</v>
      </c>
      <c r="G65" s="317"/>
      <c r="H65" s="317"/>
    </row>
    <row r="66" spans="1:9" ht="51" x14ac:dyDescent="0.2">
      <c r="A66" s="27">
        <v>31</v>
      </c>
      <c r="B66" s="312" t="s">
        <v>288</v>
      </c>
      <c r="C66" s="25" t="s">
        <v>244</v>
      </c>
      <c r="D66" s="25">
        <v>10</v>
      </c>
      <c r="E66" s="34">
        <v>9.6999999999999993</v>
      </c>
      <c r="F66" s="34">
        <f t="shared" si="3"/>
        <v>97</v>
      </c>
      <c r="G66" s="317"/>
      <c r="H66" s="317"/>
    </row>
    <row r="67" spans="1:9" x14ac:dyDescent="0.2">
      <c r="A67" s="32">
        <v>32</v>
      </c>
      <c r="B67" s="312" t="s">
        <v>289</v>
      </c>
      <c r="C67" s="25" t="s">
        <v>244</v>
      </c>
      <c r="D67" s="25">
        <v>100</v>
      </c>
      <c r="E67" s="34">
        <v>16.02</v>
      </c>
      <c r="F67" s="34">
        <f t="shared" si="3"/>
        <v>1602</v>
      </c>
      <c r="G67" s="317"/>
      <c r="H67" s="317"/>
    </row>
    <row r="68" spans="1:9" ht="25.5" x14ac:dyDescent="0.2">
      <c r="A68" s="27">
        <v>33</v>
      </c>
      <c r="B68" s="30" t="s">
        <v>359</v>
      </c>
      <c r="C68" s="32" t="s">
        <v>284</v>
      </c>
      <c r="D68" s="32">
        <v>2</v>
      </c>
      <c r="E68" s="34">
        <v>25.67</v>
      </c>
      <c r="F68" s="34">
        <f t="shared" si="3"/>
        <v>51.34</v>
      </c>
      <c r="G68" s="317"/>
      <c r="H68" s="317"/>
    </row>
    <row r="69" spans="1:9" ht="51" x14ac:dyDescent="0.2">
      <c r="A69" s="32">
        <v>34</v>
      </c>
      <c r="B69" s="312" t="s">
        <v>290</v>
      </c>
      <c r="C69" s="25" t="s">
        <v>244</v>
      </c>
      <c r="D69" s="25">
        <v>15</v>
      </c>
      <c r="E69" s="34">
        <v>45.5</v>
      </c>
      <c r="F69" s="34">
        <f t="shared" si="3"/>
        <v>682.5</v>
      </c>
      <c r="G69" s="317"/>
      <c r="H69" s="317"/>
    </row>
    <row r="70" spans="1:9" ht="25.5" x14ac:dyDescent="0.2">
      <c r="A70" s="27">
        <v>35</v>
      </c>
      <c r="B70" s="312" t="s">
        <v>291</v>
      </c>
      <c r="C70" s="25" t="s">
        <v>284</v>
      </c>
      <c r="D70" s="25">
        <v>10</v>
      </c>
      <c r="E70" s="34">
        <v>1.48</v>
      </c>
      <c r="F70" s="34">
        <f t="shared" si="3"/>
        <v>14.8</v>
      </c>
      <c r="G70" s="317"/>
      <c r="H70" s="317"/>
    </row>
    <row r="71" spans="1:9" x14ac:dyDescent="0.2">
      <c r="A71" s="32">
        <v>36</v>
      </c>
      <c r="B71" s="312" t="s">
        <v>347</v>
      </c>
      <c r="C71" s="27" t="s">
        <v>244</v>
      </c>
      <c r="D71" s="27">
        <v>100</v>
      </c>
      <c r="E71" s="34">
        <v>14.22</v>
      </c>
      <c r="F71" s="34">
        <f t="shared" si="3"/>
        <v>1422</v>
      </c>
      <c r="G71" s="317"/>
      <c r="H71" s="317"/>
    </row>
    <row r="72" spans="1:9" x14ac:dyDescent="0.2">
      <c r="A72" s="27">
        <v>37</v>
      </c>
      <c r="B72" s="30" t="s">
        <v>348</v>
      </c>
      <c r="C72" s="27" t="s">
        <v>244</v>
      </c>
      <c r="D72" s="27">
        <v>100</v>
      </c>
      <c r="E72" s="34">
        <v>9.4499999999999993</v>
      </c>
      <c r="F72" s="34">
        <f t="shared" si="3"/>
        <v>944.99999999999989</v>
      </c>
      <c r="G72" s="317"/>
      <c r="H72" s="317"/>
    </row>
    <row r="73" spans="1:9" ht="51" x14ac:dyDescent="0.2">
      <c r="A73" s="32">
        <v>38</v>
      </c>
      <c r="B73" s="312" t="s">
        <v>292</v>
      </c>
      <c r="C73" s="27" t="s">
        <v>244</v>
      </c>
      <c r="D73" s="27">
        <v>50</v>
      </c>
      <c r="E73" s="34">
        <v>8.9600000000000009</v>
      </c>
      <c r="F73" s="34">
        <f t="shared" si="3"/>
        <v>448.00000000000006</v>
      </c>
      <c r="G73" s="317"/>
      <c r="H73" s="317"/>
    </row>
    <row r="74" spans="1:9" ht="25.5" x14ac:dyDescent="0.2">
      <c r="A74" s="16">
        <v>39</v>
      </c>
      <c r="B74" s="312" t="s">
        <v>349</v>
      </c>
      <c r="C74" s="25" t="s">
        <v>244</v>
      </c>
      <c r="D74" s="25">
        <v>50</v>
      </c>
      <c r="E74" s="34">
        <v>30.39</v>
      </c>
      <c r="F74" s="34">
        <f t="shared" si="3"/>
        <v>1519.5</v>
      </c>
      <c r="G74" s="317"/>
      <c r="H74" s="317"/>
    </row>
    <row r="75" spans="1:9" ht="38.25" x14ac:dyDescent="0.2">
      <c r="A75" s="16">
        <v>40</v>
      </c>
      <c r="B75" s="312" t="s">
        <v>293</v>
      </c>
      <c r="C75" s="25" t="s">
        <v>244</v>
      </c>
      <c r="D75" s="25">
        <v>200</v>
      </c>
      <c r="E75" s="34">
        <v>11.22</v>
      </c>
      <c r="F75" s="34">
        <f t="shared" si="3"/>
        <v>2244</v>
      </c>
      <c r="G75" s="317"/>
      <c r="H75" s="317"/>
    </row>
    <row r="76" spans="1:9" ht="13.15" customHeight="1" x14ac:dyDescent="0.2">
      <c r="A76" s="566" t="s">
        <v>379</v>
      </c>
      <c r="B76" s="566"/>
      <c r="C76" s="566"/>
      <c r="D76" s="566"/>
      <c r="E76" s="566"/>
      <c r="F76" s="37">
        <f>SUM(F36:F75)</f>
        <v>43848.959999999999</v>
      </c>
      <c r="G76" s="318"/>
      <c r="H76" s="319"/>
    </row>
    <row r="77" spans="1:9" ht="13.15" customHeight="1" x14ac:dyDescent="0.2">
      <c r="A77" s="566" t="s">
        <v>381</v>
      </c>
      <c r="B77" s="566"/>
      <c r="C77" s="566"/>
      <c r="D77" s="566"/>
      <c r="E77" s="566"/>
      <c r="F77" s="37">
        <f>F76/12</f>
        <v>3654.08</v>
      </c>
      <c r="G77" s="318"/>
      <c r="H77" s="319"/>
      <c r="I77" s="188"/>
    </row>
    <row r="78" spans="1:9" ht="13.15" customHeight="1" x14ac:dyDescent="0.2">
      <c r="A78" s="566" t="s">
        <v>407</v>
      </c>
      <c r="B78" s="566"/>
      <c r="C78" s="566"/>
      <c r="D78" s="566"/>
      <c r="E78" s="566"/>
      <c r="F78" s="37">
        <f>F77/30</f>
        <v>121.80266666666667</v>
      </c>
      <c r="G78" s="318"/>
      <c r="H78" s="319"/>
      <c r="I78" s="188"/>
    </row>
    <row r="80" spans="1:9" ht="13.15" customHeight="1" x14ac:dyDescent="0.2">
      <c r="A80" s="563" t="s">
        <v>294</v>
      </c>
      <c r="B80" s="563"/>
      <c r="C80" s="563"/>
      <c r="D80" s="563"/>
      <c r="E80" s="563"/>
      <c r="F80" s="563"/>
      <c r="G80" s="315"/>
      <c r="H80" s="315"/>
    </row>
    <row r="81" spans="1:8" ht="25.5" x14ac:dyDescent="0.2">
      <c r="A81" s="24" t="s">
        <v>233</v>
      </c>
      <c r="B81" s="33" t="s">
        <v>234</v>
      </c>
      <c r="C81" s="24" t="s">
        <v>235</v>
      </c>
      <c r="D81" s="24" t="s">
        <v>295</v>
      </c>
      <c r="E81" s="24" t="s">
        <v>239</v>
      </c>
      <c r="F81" s="24" t="s">
        <v>240</v>
      </c>
      <c r="G81" s="316"/>
      <c r="H81" s="316"/>
    </row>
    <row r="82" spans="1:8" x14ac:dyDescent="0.2">
      <c r="A82" s="25">
        <v>1</v>
      </c>
      <c r="B82" s="312" t="s">
        <v>350</v>
      </c>
      <c r="C82" s="25" t="s">
        <v>244</v>
      </c>
      <c r="D82" s="25">
        <v>200</v>
      </c>
      <c r="E82" s="35">
        <v>5.45</v>
      </c>
      <c r="F82" s="35">
        <f>E82*D82*12</f>
        <v>13080</v>
      </c>
      <c r="G82" s="320"/>
      <c r="H82" s="320"/>
    </row>
    <row r="83" spans="1:8" ht="63.75" x14ac:dyDescent="0.2">
      <c r="A83" s="25">
        <v>2</v>
      </c>
      <c r="B83" s="312" t="s">
        <v>360</v>
      </c>
      <c r="C83" s="25" t="s">
        <v>244</v>
      </c>
      <c r="D83" s="25">
        <v>10</v>
      </c>
      <c r="E83" s="35">
        <v>98</v>
      </c>
      <c r="F83" s="35">
        <f t="shared" ref="F83:F122" si="4">E83*D83*12</f>
        <v>11760</v>
      </c>
      <c r="G83" s="320"/>
      <c r="H83" s="320"/>
    </row>
    <row r="84" spans="1:8" ht="51" x14ac:dyDescent="0.2">
      <c r="A84" s="25">
        <v>3</v>
      </c>
      <c r="B84" s="312" t="s">
        <v>297</v>
      </c>
      <c r="C84" s="25" t="s">
        <v>244</v>
      </c>
      <c r="D84" s="25">
        <v>1</v>
      </c>
      <c r="E84" s="35">
        <v>37.08</v>
      </c>
      <c r="F84" s="35">
        <f t="shared" si="4"/>
        <v>444.96</v>
      </c>
      <c r="G84" s="320"/>
      <c r="H84" s="320"/>
    </row>
    <row r="85" spans="1:8" ht="38.25" x14ac:dyDescent="0.2">
      <c r="A85" s="25">
        <v>4</v>
      </c>
      <c r="B85" s="312" t="s">
        <v>361</v>
      </c>
      <c r="C85" s="25" t="s">
        <v>244</v>
      </c>
      <c r="D85" s="25">
        <v>10</v>
      </c>
      <c r="E85" s="35">
        <v>105.18</v>
      </c>
      <c r="F85" s="35">
        <f t="shared" si="4"/>
        <v>12621.600000000002</v>
      </c>
      <c r="G85" s="320"/>
      <c r="H85" s="320"/>
    </row>
    <row r="86" spans="1:8" ht="25.5" x14ac:dyDescent="0.2">
      <c r="A86" s="25">
        <v>5</v>
      </c>
      <c r="B86" s="312" t="s">
        <v>298</v>
      </c>
      <c r="C86" s="25" t="s">
        <v>296</v>
      </c>
      <c r="D86" s="25">
        <v>80</v>
      </c>
      <c r="E86" s="35">
        <v>6.96</v>
      </c>
      <c r="F86" s="35">
        <f t="shared" si="4"/>
        <v>6681.5999999999995</v>
      </c>
      <c r="G86" s="320"/>
      <c r="H86" s="320"/>
    </row>
    <row r="87" spans="1:8" ht="51" x14ac:dyDescent="0.2">
      <c r="A87" s="25">
        <v>6</v>
      </c>
      <c r="B87" s="312" t="s">
        <v>362</v>
      </c>
      <c r="C87" s="25" t="s">
        <v>244</v>
      </c>
      <c r="D87" s="25">
        <v>20</v>
      </c>
      <c r="E87" s="35">
        <v>12.76</v>
      </c>
      <c r="F87" s="35">
        <f t="shared" si="4"/>
        <v>3062.3999999999996</v>
      </c>
      <c r="G87" s="320"/>
      <c r="H87" s="320"/>
    </row>
    <row r="88" spans="1:8" ht="25.5" x14ac:dyDescent="0.2">
      <c r="A88" s="25">
        <v>7</v>
      </c>
      <c r="B88" s="30" t="s">
        <v>299</v>
      </c>
      <c r="C88" s="38" t="s">
        <v>244</v>
      </c>
      <c r="D88" s="38">
        <v>10</v>
      </c>
      <c r="E88" s="35">
        <v>7.99</v>
      </c>
      <c r="F88" s="35">
        <f t="shared" si="4"/>
        <v>958.80000000000007</v>
      </c>
      <c r="G88" s="320"/>
      <c r="H88" s="320"/>
    </row>
    <row r="89" spans="1:8" ht="51" x14ac:dyDescent="0.2">
      <c r="A89" s="25">
        <v>8</v>
      </c>
      <c r="B89" s="312" t="s">
        <v>363</v>
      </c>
      <c r="C89" s="25" t="s">
        <v>244</v>
      </c>
      <c r="D89" s="25">
        <v>6</v>
      </c>
      <c r="E89" s="35">
        <v>12.19</v>
      </c>
      <c r="F89" s="35">
        <f t="shared" si="4"/>
        <v>877.68000000000006</v>
      </c>
      <c r="G89" s="320"/>
      <c r="H89" s="320"/>
    </row>
    <row r="90" spans="1:8" ht="38.25" x14ac:dyDescent="0.2">
      <c r="A90" s="25">
        <v>9</v>
      </c>
      <c r="B90" s="312" t="s">
        <v>300</v>
      </c>
      <c r="C90" s="25" t="s">
        <v>244</v>
      </c>
      <c r="D90" s="25">
        <v>2</v>
      </c>
      <c r="E90" s="35">
        <v>27.61</v>
      </c>
      <c r="F90" s="35">
        <f t="shared" si="4"/>
        <v>662.64</v>
      </c>
      <c r="G90" s="320"/>
      <c r="H90" s="320"/>
    </row>
    <row r="91" spans="1:8" ht="38.25" x14ac:dyDescent="0.2">
      <c r="A91" s="25">
        <v>10</v>
      </c>
      <c r="B91" s="312" t="s">
        <v>301</v>
      </c>
      <c r="C91" s="25" t="s">
        <v>244</v>
      </c>
      <c r="D91" s="25">
        <v>2</v>
      </c>
      <c r="E91" s="35">
        <v>28.54</v>
      </c>
      <c r="F91" s="35">
        <f t="shared" si="4"/>
        <v>684.96</v>
      </c>
      <c r="G91" s="320"/>
      <c r="H91" s="320"/>
    </row>
    <row r="92" spans="1:8" ht="25.5" x14ac:dyDescent="0.2">
      <c r="A92" s="25">
        <v>11</v>
      </c>
      <c r="B92" s="312" t="s">
        <v>302</v>
      </c>
      <c r="C92" s="25" t="s">
        <v>244</v>
      </c>
      <c r="D92" s="25">
        <v>5</v>
      </c>
      <c r="E92" s="35">
        <v>2.5299999999999998</v>
      </c>
      <c r="F92" s="35">
        <f t="shared" si="4"/>
        <v>151.79999999999998</v>
      </c>
      <c r="G92" s="320"/>
      <c r="H92" s="320"/>
    </row>
    <row r="93" spans="1:8" ht="63.75" x14ac:dyDescent="0.2">
      <c r="A93" s="25">
        <v>12</v>
      </c>
      <c r="B93" s="30" t="s">
        <v>370</v>
      </c>
      <c r="C93" s="27" t="s">
        <v>244</v>
      </c>
      <c r="D93" s="27">
        <v>30</v>
      </c>
      <c r="E93" s="35">
        <v>0.85</v>
      </c>
      <c r="F93" s="35">
        <f t="shared" si="4"/>
        <v>306</v>
      </c>
      <c r="G93" s="320"/>
      <c r="H93" s="320"/>
    </row>
    <row r="94" spans="1:8" x14ac:dyDescent="0.2">
      <c r="A94" s="25">
        <v>13</v>
      </c>
      <c r="B94" s="312" t="s">
        <v>304</v>
      </c>
      <c r="C94" s="25" t="s">
        <v>244</v>
      </c>
      <c r="D94" s="25">
        <f>25*4</f>
        <v>100</v>
      </c>
      <c r="E94" s="35">
        <v>2.76</v>
      </c>
      <c r="F94" s="35">
        <f t="shared" si="4"/>
        <v>3312</v>
      </c>
      <c r="G94" s="320"/>
      <c r="H94" s="320"/>
    </row>
    <row r="95" spans="1:8" ht="25.5" x14ac:dyDescent="0.2">
      <c r="A95" s="25">
        <v>14</v>
      </c>
      <c r="B95" s="312" t="s">
        <v>364</v>
      </c>
      <c r="C95" s="25" t="s">
        <v>244</v>
      </c>
      <c r="D95" s="25">
        <f>120/5</f>
        <v>24</v>
      </c>
      <c r="E95" s="35">
        <v>11.59</v>
      </c>
      <c r="F95" s="35">
        <f t="shared" si="4"/>
        <v>3337.9199999999996</v>
      </c>
      <c r="G95" s="320"/>
      <c r="H95" s="320"/>
    </row>
    <row r="96" spans="1:8" x14ac:dyDescent="0.2">
      <c r="A96" s="25">
        <v>15</v>
      </c>
      <c r="B96" s="312" t="s">
        <v>305</v>
      </c>
      <c r="C96" s="25" t="s">
        <v>303</v>
      </c>
      <c r="D96" s="25">
        <v>10</v>
      </c>
      <c r="E96" s="35">
        <v>1.58</v>
      </c>
      <c r="F96" s="35">
        <f t="shared" si="4"/>
        <v>189.60000000000002</v>
      </c>
      <c r="G96" s="320"/>
      <c r="H96" s="320"/>
    </row>
    <row r="97" spans="1:8" x14ac:dyDescent="0.2">
      <c r="A97" s="25">
        <v>16</v>
      </c>
      <c r="B97" s="312" t="s">
        <v>306</v>
      </c>
      <c r="C97" s="25" t="s">
        <v>244</v>
      </c>
      <c r="D97" s="25">
        <v>1</v>
      </c>
      <c r="E97" s="35">
        <v>33.99</v>
      </c>
      <c r="F97" s="35">
        <f t="shared" si="4"/>
        <v>407.88</v>
      </c>
      <c r="G97" s="320"/>
      <c r="H97" s="320"/>
    </row>
    <row r="98" spans="1:8" x14ac:dyDescent="0.2">
      <c r="A98" s="25">
        <v>17</v>
      </c>
      <c r="B98" s="312" t="s">
        <v>365</v>
      </c>
      <c r="C98" s="25" t="s">
        <v>244</v>
      </c>
      <c r="D98" s="25">
        <v>50</v>
      </c>
      <c r="E98" s="35">
        <v>3.98</v>
      </c>
      <c r="F98" s="35">
        <f t="shared" si="4"/>
        <v>2388</v>
      </c>
      <c r="G98" s="320"/>
      <c r="H98" s="320"/>
    </row>
    <row r="99" spans="1:8" x14ac:dyDescent="0.2">
      <c r="A99" s="25">
        <v>18</v>
      </c>
      <c r="B99" s="312" t="s">
        <v>366</v>
      </c>
      <c r="C99" s="25" t="s">
        <v>244</v>
      </c>
      <c r="D99" s="25">
        <v>20</v>
      </c>
      <c r="E99" s="35">
        <v>3.5</v>
      </c>
      <c r="F99" s="35">
        <f t="shared" si="4"/>
        <v>840</v>
      </c>
      <c r="G99" s="320"/>
      <c r="H99" s="320"/>
    </row>
    <row r="100" spans="1:8" ht="51" x14ac:dyDescent="0.2">
      <c r="A100" s="25">
        <v>19</v>
      </c>
      <c r="B100" s="312" t="s">
        <v>375</v>
      </c>
      <c r="C100" s="25" t="s">
        <v>284</v>
      </c>
      <c r="D100" s="32">
        <v>30</v>
      </c>
      <c r="E100" s="35">
        <v>3.51</v>
      </c>
      <c r="F100" s="35">
        <f t="shared" si="4"/>
        <v>1263.5999999999999</v>
      </c>
      <c r="G100" s="320"/>
      <c r="H100" s="320"/>
    </row>
    <row r="101" spans="1:8" ht="51" x14ac:dyDescent="0.2">
      <c r="A101" s="25">
        <v>20</v>
      </c>
      <c r="B101" s="312" t="s">
        <v>376</v>
      </c>
      <c r="C101" s="25" t="s">
        <v>284</v>
      </c>
      <c r="D101" s="32">
        <v>30</v>
      </c>
      <c r="E101" s="35">
        <v>3.84</v>
      </c>
      <c r="F101" s="35">
        <f t="shared" si="4"/>
        <v>1382.3999999999999</v>
      </c>
      <c r="G101" s="320"/>
      <c r="H101" s="320"/>
    </row>
    <row r="102" spans="1:8" ht="51" x14ac:dyDescent="0.2">
      <c r="A102" s="25">
        <v>21</v>
      </c>
      <c r="B102" s="312" t="s">
        <v>377</v>
      </c>
      <c r="C102" s="25" t="s">
        <v>284</v>
      </c>
      <c r="D102" s="32">
        <v>30</v>
      </c>
      <c r="E102" s="35">
        <v>6.54</v>
      </c>
      <c r="F102" s="35">
        <f t="shared" si="4"/>
        <v>2354.3999999999996</v>
      </c>
      <c r="G102" s="320"/>
      <c r="H102" s="320"/>
    </row>
    <row r="103" spans="1:8" ht="51" x14ac:dyDescent="0.2">
      <c r="A103" s="25">
        <v>22</v>
      </c>
      <c r="B103" s="30" t="s">
        <v>307</v>
      </c>
      <c r="C103" s="32" t="s">
        <v>308</v>
      </c>
      <c r="D103" s="32">
        <v>30</v>
      </c>
      <c r="E103" s="35">
        <v>3.22</v>
      </c>
      <c r="F103" s="35">
        <f t="shared" si="4"/>
        <v>1159.2</v>
      </c>
      <c r="G103" s="320"/>
      <c r="H103" s="320"/>
    </row>
    <row r="104" spans="1:8" ht="51" x14ac:dyDescent="0.2">
      <c r="A104" s="25">
        <v>23</v>
      </c>
      <c r="B104" s="30" t="s">
        <v>309</v>
      </c>
      <c r="C104" s="32" t="s">
        <v>244</v>
      </c>
      <c r="D104" s="32">
        <v>3</v>
      </c>
      <c r="E104" s="35">
        <v>7.35</v>
      </c>
      <c r="F104" s="35">
        <f t="shared" si="4"/>
        <v>264.59999999999997</v>
      </c>
      <c r="G104" s="320"/>
      <c r="H104" s="320"/>
    </row>
    <row r="105" spans="1:8" ht="25.5" x14ac:dyDescent="0.2">
      <c r="A105" s="25">
        <v>24</v>
      </c>
      <c r="B105" s="312" t="s">
        <v>367</v>
      </c>
      <c r="C105" s="25" t="s">
        <v>263</v>
      </c>
      <c r="D105" s="25">
        <v>4</v>
      </c>
      <c r="E105" s="35">
        <v>26.53</v>
      </c>
      <c r="F105" s="35">
        <f t="shared" si="4"/>
        <v>1273.44</v>
      </c>
      <c r="G105" s="320"/>
      <c r="H105" s="320"/>
    </row>
    <row r="106" spans="1:8" ht="25.5" x14ac:dyDescent="0.2">
      <c r="A106" s="25">
        <v>25</v>
      </c>
      <c r="B106" s="30" t="s">
        <v>310</v>
      </c>
      <c r="C106" s="27" t="s">
        <v>244</v>
      </c>
      <c r="D106" s="27">
        <v>40</v>
      </c>
      <c r="E106" s="35">
        <v>5.89</v>
      </c>
      <c r="F106" s="35">
        <f t="shared" si="4"/>
        <v>2827.2</v>
      </c>
      <c r="G106" s="320"/>
      <c r="H106" s="320"/>
    </row>
    <row r="107" spans="1:8" ht="38.25" x14ac:dyDescent="0.2">
      <c r="A107" s="25">
        <v>26</v>
      </c>
      <c r="B107" s="312" t="s">
        <v>311</v>
      </c>
      <c r="C107" s="27" t="s">
        <v>303</v>
      </c>
      <c r="D107" s="27">
        <v>30</v>
      </c>
      <c r="E107" s="35">
        <v>38.909999999999997</v>
      </c>
      <c r="F107" s="35">
        <f t="shared" si="4"/>
        <v>14007.599999999999</v>
      </c>
      <c r="G107" s="320"/>
      <c r="H107" s="320"/>
    </row>
    <row r="108" spans="1:8" ht="51" x14ac:dyDescent="0.2">
      <c r="A108" s="25">
        <v>27</v>
      </c>
      <c r="B108" s="30" t="s">
        <v>312</v>
      </c>
      <c r="C108" s="27" t="s">
        <v>313</v>
      </c>
      <c r="D108" s="27">
        <v>50</v>
      </c>
      <c r="E108" s="35">
        <v>12.39</v>
      </c>
      <c r="F108" s="35">
        <f t="shared" si="4"/>
        <v>7434</v>
      </c>
      <c r="G108" s="320"/>
      <c r="H108" s="320"/>
    </row>
    <row r="109" spans="1:8" ht="25.5" x14ac:dyDescent="0.2">
      <c r="A109" s="25">
        <v>28</v>
      </c>
      <c r="B109" s="312" t="s">
        <v>352</v>
      </c>
      <c r="C109" s="25" t="s">
        <v>244</v>
      </c>
      <c r="D109" s="25">
        <f>3000/200</f>
        <v>15</v>
      </c>
      <c r="E109" s="35">
        <v>11.61</v>
      </c>
      <c r="F109" s="35">
        <f t="shared" si="4"/>
        <v>2089.7999999999997</v>
      </c>
      <c r="G109" s="320"/>
      <c r="H109" s="320"/>
    </row>
    <row r="110" spans="1:8" ht="63.75" x14ac:dyDescent="0.2">
      <c r="A110" s="25">
        <v>29</v>
      </c>
      <c r="B110" s="312" t="s">
        <v>368</v>
      </c>
      <c r="C110" s="27" t="s">
        <v>244</v>
      </c>
      <c r="D110" s="27">
        <f>60/5</f>
        <v>12</v>
      </c>
      <c r="E110" s="35">
        <v>63.48</v>
      </c>
      <c r="F110" s="35">
        <f t="shared" si="4"/>
        <v>9141.119999999999</v>
      </c>
      <c r="G110" s="320"/>
      <c r="H110" s="320"/>
    </row>
    <row r="111" spans="1:8" ht="38.25" x14ac:dyDescent="0.2">
      <c r="A111" s="25">
        <v>30</v>
      </c>
      <c r="B111" s="312" t="s">
        <v>314</v>
      </c>
      <c r="C111" s="25" t="s">
        <v>244</v>
      </c>
      <c r="D111" s="25">
        <v>125</v>
      </c>
      <c r="E111" s="35">
        <v>1.73</v>
      </c>
      <c r="F111" s="35">
        <f t="shared" si="4"/>
        <v>2595</v>
      </c>
      <c r="G111" s="320"/>
      <c r="H111" s="320"/>
    </row>
    <row r="112" spans="1:8" x14ac:dyDescent="0.2">
      <c r="A112" s="25">
        <v>31</v>
      </c>
      <c r="B112" s="30" t="s">
        <v>315</v>
      </c>
      <c r="C112" s="27" t="s">
        <v>316</v>
      </c>
      <c r="D112" s="27">
        <v>10</v>
      </c>
      <c r="E112" s="35">
        <v>8.8000000000000007</v>
      </c>
      <c r="F112" s="35">
        <f t="shared" si="4"/>
        <v>1056</v>
      </c>
      <c r="G112" s="320"/>
      <c r="H112" s="320"/>
    </row>
    <row r="113" spans="1:10" ht="51" x14ac:dyDescent="0.2">
      <c r="A113" s="25">
        <v>32</v>
      </c>
      <c r="B113" s="30" t="s">
        <v>317</v>
      </c>
      <c r="C113" s="27" t="s">
        <v>318</v>
      </c>
      <c r="D113" s="27">
        <v>30</v>
      </c>
      <c r="E113" s="35">
        <v>6.69</v>
      </c>
      <c r="F113" s="35">
        <f t="shared" si="4"/>
        <v>2408.4</v>
      </c>
      <c r="G113" s="320"/>
      <c r="H113" s="320"/>
    </row>
    <row r="114" spans="1:10" ht="25.5" x14ac:dyDescent="0.2">
      <c r="A114" s="25">
        <v>33</v>
      </c>
      <c r="B114" s="30" t="s">
        <v>369</v>
      </c>
      <c r="C114" s="25" t="s">
        <v>244</v>
      </c>
      <c r="D114" s="25">
        <f>75/5</f>
        <v>15</v>
      </c>
      <c r="E114" s="35">
        <v>16.329999999999998</v>
      </c>
      <c r="F114" s="35">
        <f t="shared" si="4"/>
        <v>2939.3999999999996</v>
      </c>
      <c r="G114" s="320"/>
      <c r="H114" s="320"/>
    </row>
    <row r="115" spans="1:10" ht="25.5" x14ac:dyDescent="0.2">
      <c r="A115" s="25">
        <v>34</v>
      </c>
      <c r="B115" s="312" t="s">
        <v>351</v>
      </c>
      <c r="C115" s="27" t="s">
        <v>244</v>
      </c>
      <c r="D115" s="27">
        <v>15</v>
      </c>
      <c r="E115" s="35">
        <v>24.89</v>
      </c>
      <c r="F115" s="35">
        <f t="shared" si="4"/>
        <v>4480.2000000000007</v>
      </c>
      <c r="G115" s="320"/>
      <c r="H115" s="320"/>
    </row>
    <row r="116" spans="1:10" ht="25.5" x14ac:dyDescent="0.2">
      <c r="A116" s="25">
        <v>35</v>
      </c>
      <c r="B116" s="30" t="s">
        <v>319</v>
      </c>
      <c r="C116" s="27" t="s">
        <v>303</v>
      </c>
      <c r="D116" s="25">
        <v>5</v>
      </c>
      <c r="E116" s="35">
        <v>16.39</v>
      </c>
      <c r="F116" s="35">
        <f t="shared" si="4"/>
        <v>983.40000000000009</v>
      </c>
      <c r="G116" s="320"/>
      <c r="H116" s="320"/>
    </row>
    <row r="117" spans="1:10" ht="25.5" x14ac:dyDescent="0.2">
      <c r="A117" s="25">
        <v>36</v>
      </c>
      <c r="B117" s="30" t="s">
        <v>320</v>
      </c>
      <c r="C117" s="27" t="s">
        <v>303</v>
      </c>
      <c r="D117" s="27">
        <v>20</v>
      </c>
      <c r="E117" s="35">
        <v>36.85</v>
      </c>
      <c r="F117" s="35">
        <f t="shared" si="4"/>
        <v>8844</v>
      </c>
      <c r="G117" s="320"/>
      <c r="H117" s="320"/>
    </row>
    <row r="118" spans="1:10" ht="25.5" x14ac:dyDescent="0.2">
      <c r="A118" s="25">
        <v>37</v>
      </c>
      <c r="B118" s="30" t="s">
        <v>321</v>
      </c>
      <c r="C118" s="27" t="s">
        <v>303</v>
      </c>
      <c r="D118" s="27">
        <v>10</v>
      </c>
      <c r="E118" s="35">
        <v>20.91</v>
      </c>
      <c r="F118" s="35">
        <f t="shared" si="4"/>
        <v>2509.1999999999998</v>
      </c>
      <c r="G118" s="320"/>
      <c r="H118" s="320"/>
    </row>
    <row r="119" spans="1:10" ht="25.5" x14ac:dyDescent="0.2">
      <c r="A119" s="25">
        <v>38</v>
      </c>
      <c r="B119" s="30" t="s">
        <v>322</v>
      </c>
      <c r="C119" s="27" t="s">
        <v>303</v>
      </c>
      <c r="D119" s="27">
        <v>10</v>
      </c>
      <c r="E119" s="35">
        <v>37.4</v>
      </c>
      <c r="F119" s="35">
        <f t="shared" si="4"/>
        <v>4488</v>
      </c>
      <c r="G119" s="320"/>
      <c r="H119" s="320"/>
    </row>
    <row r="120" spans="1:10" ht="25.5" x14ac:dyDescent="0.2">
      <c r="A120" s="25">
        <v>39</v>
      </c>
      <c r="B120" s="30" t="s">
        <v>323</v>
      </c>
      <c r="C120" s="27" t="s">
        <v>303</v>
      </c>
      <c r="D120" s="27">
        <v>10</v>
      </c>
      <c r="E120" s="35">
        <v>48.3</v>
      </c>
      <c r="F120" s="35">
        <f t="shared" si="4"/>
        <v>5796</v>
      </c>
      <c r="G120" s="320"/>
      <c r="H120" s="320"/>
    </row>
    <row r="121" spans="1:10" ht="38.25" x14ac:dyDescent="0.2">
      <c r="A121" s="25">
        <v>40</v>
      </c>
      <c r="B121" s="312" t="s">
        <v>324</v>
      </c>
      <c r="C121" s="27" t="s">
        <v>303</v>
      </c>
      <c r="D121" s="27">
        <v>5</v>
      </c>
      <c r="E121" s="35">
        <v>49.91</v>
      </c>
      <c r="F121" s="35">
        <f t="shared" si="4"/>
        <v>2994.6</v>
      </c>
      <c r="G121" s="320"/>
      <c r="H121" s="320"/>
    </row>
    <row r="122" spans="1:10" x14ac:dyDescent="0.2">
      <c r="A122" s="25">
        <v>41</v>
      </c>
      <c r="B122" s="312" t="s">
        <v>353</v>
      </c>
      <c r="C122" s="25" t="s">
        <v>263</v>
      </c>
      <c r="D122" s="25">
        <v>15</v>
      </c>
      <c r="E122" s="35">
        <v>5.0199999999999996</v>
      </c>
      <c r="F122" s="35">
        <f t="shared" si="4"/>
        <v>903.59999999999991</v>
      </c>
      <c r="G122" s="320"/>
      <c r="H122" s="320"/>
    </row>
    <row r="123" spans="1:10" ht="13.15" customHeight="1" x14ac:dyDescent="0.2">
      <c r="A123" s="566" t="s">
        <v>381</v>
      </c>
      <c r="B123" s="566"/>
      <c r="C123" s="566"/>
      <c r="D123" s="566"/>
      <c r="E123" s="566"/>
      <c r="F123" s="39">
        <f>SUM(F82:F122)</f>
        <v>144963</v>
      </c>
      <c r="G123" s="325"/>
      <c r="H123" s="321"/>
      <c r="I123" s="48"/>
      <c r="J123" s="48"/>
    </row>
    <row r="124" spans="1:10" ht="13.15" customHeight="1" x14ac:dyDescent="0.2">
      <c r="A124" s="566" t="s">
        <v>381</v>
      </c>
      <c r="B124" s="566"/>
      <c r="C124" s="566"/>
      <c r="D124" s="566"/>
      <c r="E124" s="566"/>
      <c r="F124" s="39">
        <f>F123/12</f>
        <v>12080.25</v>
      </c>
      <c r="G124" s="318"/>
      <c r="H124" s="321"/>
    </row>
    <row r="125" spans="1:10" ht="13.15" customHeight="1" x14ac:dyDescent="0.2">
      <c r="A125" s="566" t="s">
        <v>407</v>
      </c>
      <c r="B125" s="566"/>
      <c r="C125" s="566"/>
      <c r="D125" s="566"/>
      <c r="E125" s="566"/>
      <c r="F125" s="39">
        <f>F124/30</f>
        <v>402.67500000000001</v>
      </c>
      <c r="G125" s="318"/>
      <c r="H125" s="321"/>
    </row>
    <row r="127" spans="1:10" ht="13.15" customHeight="1" x14ac:dyDescent="0.2">
      <c r="A127" s="563" t="s">
        <v>326</v>
      </c>
      <c r="B127" s="563"/>
      <c r="C127" s="563"/>
      <c r="D127" s="563"/>
      <c r="E127" s="563"/>
      <c r="F127" s="563"/>
      <c r="G127" s="563"/>
      <c r="H127" s="563"/>
      <c r="I127" s="315"/>
      <c r="J127" s="315"/>
    </row>
    <row r="128" spans="1:10" ht="25.5" x14ac:dyDescent="0.2">
      <c r="A128" s="24" t="s">
        <v>208</v>
      </c>
      <c r="B128" s="24" t="s">
        <v>0</v>
      </c>
      <c r="C128" s="24" t="s">
        <v>327</v>
      </c>
      <c r="D128" s="24" t="s">
        <v>328</v>
      </c>
      <c r="E128" s="24" t="s">
        <v>329</v>
      </c>
      <c r="F128" s="24" t="s">
        <v>239</v>
      </c>
      <c r="G128" s="24" t="s">
        <v>325</v>
      </c>
      <c r="H128" s="24" t="s">
        <v>260</v>
      </c>
      <c r="I128" s="316"/>
      <c r="J128" s="316"/>
    </row>
    <row r="129" spans="1:10" x14ac:dyDescent="0.2">
      <c r="A129" s="25">
        <v>1</v>
      </c>
      <c r="B129" s="312" t="s">
        <v>330</v>
      </c>
      <c r="C129" s="25" t="s">
        <v>244</v>
      </c>
      <c r="D129" s="25">
        <v>2</v>
      </c>
      <c r="E129" s="25">
        <f>(D129*2)</f>
        <v>4</v>
      </c>
      <c r="F129" s="40">
        <v>126.33</v>
      </c>
      <c r="G129" s="40">
        <f>H129/12</f>
        <v>42.11</v>
      </c>
      <c r="H129" s="40">
        <f>F129*E129</f>
        <v>505.32</v>
      </c>
      <c r="I129" s="322"/>
      <c r="J129" s="322"/>
    </row>
    <row r="130" spans="1:10" x14ac:dyDescent="0.2">
      <c r="A130" s="25">
        <v>2</v>
      </c>
      <c r="B130" s="312" t="s">
        <v>331</v>
      </c>
      <c r="C130" s="25" t="s">
        <v>244</v>
      </c>
      <c r="D130" s="25">
        <v>2</v>
      </c>
      <c r="E130" s="25">
        <f>(D130*2)</f>
        <v>4</v>
      </c>
      <c r="F130" s="40">
        <v>34.92</v>
      </c>
      <c r="G130" s="40">
        <f t="shared" ref="G130:G134" si="5">H130/12</f>
        <v>11.64</v>
      </c>
      <c r="H130" s="40">
        <f t="shared" ref="H130:H134" si="6">F130*E130</f>
        <v>139.68</v>
      </c>
      <c r="I130" s="322"/>
      <c r="J130" s="322"/>
    </row>
    <row r="131" spans="1:10" ht="25.5" x14ac:dyDescent="0.2">
      <c r="A131" s="25">
        <v>3</v>
      </c>
      <c r="B131" s="312" t="s">
        <v>332</v>
      </c>
      <c r="C131" s="25" t="s">
        <v>244</v>
      </c>
      <c r="D131" s="25">
        <v>1</v>
      </c>
      <c r="E131" s="25">
        <f>(D131*2)</f>
        <v>2</v>
      </c>
      <c r="F131" s="40">
        <v>2.02</v>
      </c>
      <c r="G131" s="40">
        <f t="shared" si="5"/>
        <v>0.33666666666666667</v>
      </c>
      <c r="H131" s="40">
        <f t="shared" si="6"/>
        <v>4.04</v>
      </c>
      <c r="I131" s="322"/>
      <c r="J131" s="322"/>
    </row>
    <row r="132" spans="1:10" ht="25.5" x14ac:dyDescent="0.2">
      <c r="A132" s="25">
        <v>4</v>
      </c>
      <c r="B132" s="312" t="s">
        <v>333</v>
      </c>
      <c r="C132" s="25" t="s">
        <v>244</v>
      </c>
      <c r="D132" s="25">
        <v>1</v>
      </c>
      <c r="E132" s="25">
        <v>1</v>
      </c>
      <c r="F132" s="40">
        <v>8.1300000000000008</v>
      </c>
      <c r="G132" s="40">
        <f t="shared" si="5"/>
        <v>0.6775000000000001</v>
      </c>
      <c r="H132" s="40">
        <f t="shared" si="6"/>
        <v>8.1300000000000008</v>
      </c>
      <c r="I132" s="322"/>
      <c r="J132" s="322"/>
    </row>
    <row r="133" spans="1:10" x14ac:dyDescent="0.2">
      <c r="A133" s="25">
        <v>5</v>
      </c>
      <c r="B133" s="312" t="s">
        <v>334</v>
      </c>
      <c r="C133" s="25" t="s">
        <v>284</v>
      </c>
      <c r="D133" s="25">
        <v>2</v>
      </c>
      <c r="E133" s="25">
        <f>(D133*2)</f>
        <v>4</v>
      </c>
      <c r="F133" s="40">
        <v>6.62</v>
      </c>
      <c r="G133" s="40">
        <f t="shared" si="5"/>
        <v>2.2066666666666666</v>
      </c>
      <c r="H133" s="40">
        <f t="shared" si="6"/>
        <v>26.48</v>
      </c>
      <c r="I133" s="322"/>
      <c r="J133" s="322"/>
    </row>
    <row r="134" spans="1:10" ht="25.5" x14ac:dyDescent="0.2">
      <c r="A134" s="25">
        <v>6</v>
      </c>
      <c r="B134" s="41" t="s">
        <v>335</v>
      </c>
      <c r="C134" s="38" t="s">
        <v>284</v>
      </c>
      <c r="D134" s="38">
        <v>1</v>
      </c>
      <c r="E134" s="38">
        <f>(D134*2)</f>
        <v>2</v>
      </c>
      <c r="F134" s="40">
        <v>66.73</v>
      </c>
      <c r="G134" s="40">
        <f t="shared" si="5"/>
        <v>11.121666666666668</v>
      </c>
      <c r="H134" s="40">
        <f t="shared" si="6"/>
        <v>133.46</v>
      </c>
      <c r="I134" s="322"/>
      <c r="J134" s="322"/>
    </row>
    <row r="135" spans="1:10" x14ac:dyDescent="0.2">
      <c r="A135" s="564" t="s">
        <v>336</v>
      </c>
      <c r="B135" s="564"/>
      <c r="C135" s="564"/>
      <c r="D135" s="564"/>
      <c r="E135" s="564"/>
      <c r="F135" s="564"/>
      <c r="G135" s="47">
        <f>SUM(G129:G134)</f>
        <v>68.092500000000001</v>
      </c>
      <c r="H135" s="47">
        <f>SUM(H129:H134)</f>
        <v>817.11</v>
      </c>
      <c r="I135" s="323"/>
      <c r="J135" s="323"/>
    </row>
    <row r="136" spans="1:10" x14ac:dyDescent="0.2">
      <c r="A136" s="42"/>
      <c r="B136" s="42"/>
      <c r="C136" s="42"/>
      <c r="D136" s="42"/>
      <c r="E136" s="42"/>
      <c r="F136" s="42"/>
      <c r="G136" s="42"/>
      <c r="H136" s="42"/>
      <c r="I136" s="42"/>
      <c r="J136" s="42"/>
    </row>
    <row r="137" spans="1:10" ht="13.15" customHeight="1" x14ac:dyDescent="0.2">
      <c r="A137" s="565" t="s">
        <v>337</v>
      </c>
      <c r="B137" s="427"/>
      <c r="C137" s="427"/>
      <c r="D137" s="427"/>
      <c r="E137" s="427"/>
      <c r="F137" s="427"/>
      <c r="G137" s="427"/>
      <c r="H137" s="427"/>
      <c r="I137" s="315"/>
      <c r="J137" s="315"/>
    </row>
    <row r="138" spans="1:10" ht="25.5" x14ac:dyDescent="0.2">
      <c r="A138" s="24" t="s">
        <v>208</v>
      </c>
      <c r="B138" s="24" t="s">
        <v>0</v>
      </c>
      <c r="C138" s="24" t="s">
        <v>327</v>
      </c>
      <c r="D138" s="24" t="s">
        <v>328</v>
      </c>
      <c r="E138" s="313" t="s">
        <v>329</v>
      </c>
      <c r="F138" s="24" t="s">
        <v>239</v>
      </c>
      <c r="G138" s="24" t="s">
        <v>325</v>
      </c>
      <c r="H138" s="24" t="s">
        <v>260</v>
      </c>
      <c r="I138" s="316"/>
      <c r="J138" s="316"/>
    </row>
    <row r="139" spans="1:10" ht="25.5" x14ac:dyDescent="0.2">
      <c r="A139" s="25">
        <v>1</v>
      </c>
      <c r="B139" s="26" t="s">
        <v>355</v>
      </c>
      <c r="C139" s="25" t="s">
        <v>284</v>
      </c>
      <c r="D139" s="43">
        <v>2</v>
      </c>
      <c r="E139" s="324">
        <v>2</v>
      </c>
      <c r="F139" s="40">
        <v>37.32</v>
      </c>
      <c r="G139" s="40">
        <f>H139/12</f>
        <v>6.22</v>
      </c>
      <c r="H139" s="40">
        <f>F139*E139</f>
        <v>74.64</v>
      </c>
      <c r="I139" s="322"/>
      <c r="J139" s="322"/>
    </row>
    <row r="140" spans="1:10" ht="51" x14ac:dyDescent="0.2">
      <c r="A140" s="25">
        <v>2</v>
      </c>
      <c r="B140" s="26" t="s">
        <v>338</v>
      </c>
      <c r="C140" s="25" t="s">
        <v>244</v>
      </c>
      <c r="D140" s="43">
        <v>2</v>
      </c>
      <c r="E140" s="324">
        <f>(D140*2)</f>
        <v>4</v>
      </c>
      <c r="F140" s="40">
        <v>44.67</v>
      </c>
      <c r="G140" s="40">
        <f t="shared" ref="G140:G147" si="7">H140/12</f>
        <v>14.89</v>
      </c>
      <c r="H140" s="40">
        <f t="shared" ref="H140:H147" si="8">F140*E140</f>
        <v>178.68</v>
      </c>
      <c r="I140" s="322"/>
      <c r="J140" s="322"/>
    </row>
    <row r="141" spans="1:10" ht="38.25" x14ac:dyDescent="0.2">
      <c r="A141" s="25">
        <v>3</v>
      </c>
      <c r="B141" s="26" t="s">
        <v>339</v>
      </c>
      <c r="C141" s="25" t="s">
        <v>244</v>
      </c>
      <c r="D141" s="43">
        <v>2</v>
      </c>
      <c r="E141" s="324">
        <f>(D141*2)</f>
        <v>4</v>
      </c>
      <c r="F141" s="40">
        <v>17.579999999999998</v>
      </c>
      <c r="G141" s="40">
        <f t="shared" si="7"/>
        <v>5.8599999999999994</v>
      </c>
      <c r="H141" s="40">
        <f t="shared" si="8"/>
        <v>70.319999999999993</v>
      </c>
      <c r="I141" s="322"/>
      <c r="J141" s="322"/>
    </row>
    <row r="142" spans="1:10" ht="38.25" x14ac:dyDescent="0.2">
      <c r="A142" s="25">
        <v>4</v>
      </c>
      <c r="B142" s="26" t="s">
        <v>340</v>
      </c>
      <c r="C142" s="25" t="s">
        <v>244</v>
      </c>
      <c r="D142" s="43">
        <v>2</v>
      </c>
      <c r="E142" s="324">
        <v>4</v>
      </c>
      <c r="F142" s="40">
        <v>42.97</v>
      </c>
      <c r="G142" s="40">
        <f t="shared" si="7"/>
        <v>14.323333333333332</v>
      </c>
      <c r="H142" s="40">
        <f t="shared" si="8"/>
        <v>171.88</v>
      </c>
      <c r="I142" s="322"/>
      <c r="J142" s="322"/>
    </row>
    <row r="143" spans="1:10" x14ac:dyDescent="0.2">
      <c r="A143" s="25">
        <v>5</v>
      </c>
      <c r="B143" s="26" t="s">
        <v>356</v>
      </c>
      <c r="C143" s="25" t="s">
        <v>244</v>
      </c>
      <c r="D143" s="43">
        <v>1</v>
      </c>
      <c r="E143" s="324">
        <v>2</v>
      </c>
      <c r="F143" s="40">
        <v>21.89</v>
      </c>
      <c r="G143" s="40">
        <f t="shared" si="7"/>
        <v>3.6483333333333334</v>
      </c>
      <c r="H143" s="40">
        <f t="shared" si="8"/>
        <v>43.78</v>
      </c>
      <c r="I143" s="322"/>
      <c r="J143" s="322"/>
    </row>
    <row r="144" spans="1:10" ht="25.5" x14ac:dyDescent="0.2">
      <c r="A144" s="25">
        <v>6</v>
      </c>
      <c r="B144" s="26" t="s">
        <v>332</v>
      </c>
      <c r="C144" s="25" t="s">
        <v>244</v>
      </c>
      <c r="D144" s="43">
        <v>1</v>
      </c>
      <c r="E144" s="324">
        <f>(D144*2)</f>
        <v>2</v>
      </c>
      <c r="F144" s="40">
        <v>2.02</v>
      </c>
      <c r="G144" s="40">
        <f t="shared" si="7"/>
        <v>0.33666666666666667</v>
      </c>
      <c r="H144" s="40">
        <f t="shared" si="8"/>
        <v>4.04</v>
      </c>
      <c r="I144" s="322"/>
      <c r="J144" s="322"/>
    </row>
    <row r="145" spans="1:10" ht="25.5" x14ac:dyDescent="0.2">
      <c r="A145" s="25">
        <v>7</v>
      </c>
      <c r="B145" s="26" t="s">
        <v>333</v>
      </c>
      <c r="C145" s="25" t="s">
        <v>244</v>
      </c>
      <c r="D145" s="43">
        <v>1</v>
      </c>
      <c r="E145" s="324">
        <v>1</v>
      </c>
      <c r="F145" s="40">
        <v>8.1300000000000008</v>
      </c>
      <c r="G145" s="40">
        <f t="shared" si="7"/>
        <v>0.6775000000000001</v>
      </c>
      <c r="H145" s="40">
        <f t="shared" si="8"/>
        <v>8.1300000000000008</v>
      </c>
      <c r="I145" s="322"/>
      <c r="J145" s="322"/>
    </row>
    <row r="146" spans="1:10" ht="51" x14ac:dyDescent="0.2">
      <c r="A146" s="25">
        <v>8</v>
      </c>
      <c r="B146" s="26" t="s">
        <v>341</v>
      </c>
      <c r="C146" s="25" t="s">
        <v>284</v>
      </c>
      <c r="D146" s="43">
        <v>2</v>
      </c>
      <c r="E146" s="324">
        <f>(D146*2)</f>
        <v>4</v>
      </c>
      <c r="F146" s="40">
        <v>6.62</v>
      </c>
      <c r="G146" s="40">
        <f t="shared" si="7"/>
        <v>2.2066666666666666</v>
      </c>
      <c r="H146" s="40">
        <f t="shared" si="8"/>
        <v>26.48</v>
      </c>
      <c r="I146" s="322"/>
      <c r="J146" s="322"/>
    </row>
    <row r="147" spans="1:10" ht="51" x14ac:dyDescent="0.2">
      <c r="A147" s="25">
        <v>9</v>
      </c>
      <c r="B147" s="26" t="s">
        <v>357</v>
      </c>
      <c r="C147" s="25" t="s">
        <v>284</v>
      </c>
      <c r="D147" s="43">
        <v>1</v>
      </c>
      <c r="E147" s="324">
        <f>(D147*2)</f>
        <v>2</v>
      </c>
      <c r="F147" s="40">
        <v>52.23</v>
      </c>
      <c r="G147" s="40">
        <f t="shared" si="7"/>
        <v>8.7050000000000001</v>
      </c>
      <c r="H147" s="40">
        <f t="shared" si="8"/>
        <v>104.46</v>
      </c>
      <c r="I147" s="322"/>
      <c r="J147" s="322"/>
    </row>
    <row r="148" spans="1:10" x14ac:dyDescent="0.2">
      <c r="A148" s="574" t="s">
        <v>336</v>
      </c>
      <c r="B148" s="575"/>
      <c r="C148" s="575"/>
      <c r="D148" s="575"/>
      <c r="E148" s="575"/>
      <c r="F148" s="576"/>
      <c r="G148" s="40">
        <f>SUM(G139:G147)</f>
        <v>56.867499999999993</v>
      </c>
      <c r="H148" s="40">
        <f>SUM(H139:H147)</f>
        <v>682.41</v>
      </c>
      <c r="I148" s="323"/>
      <c r="J148" s="323"/>
    </row>
  </sheetData>
  <mergeCells count="18">
    <mergeCell ref="A148:F148"/>
    <mergeCell ref="A2:J2"/>
    <mergeCell ref="A10:J10"/>
    <mergeCell ref="A7:J7"/>
    <mergeCell ref="A31:I31"/>
    <mergeCell ref="A32:I32"/>
    <mergeCell ref="A30:G30"/>
    <mergeCell ref="A34:F34"/>
    <mergeCell ref="A135:F135"/>
    <mergeCell ref="A127:H127"/>
    <mergeCell ref="A137:H137"/>
    <mergeCell ref="A76:E76"/>
    <mergeCell ref="A77:E77"/>
    <mergeCell ref="A78:E78"/>
    <mergeCell ref="A123:E123"/>
    <mergeCell ref="A124:E124"/>
    <mergeCell ref="A125:E125"/>
    <mergeCell ref="A80:F80"/>
  </mergeCells>
  <pageMargins left="0.7" right="0.7" top="0.75" bottom="0.75" header="0.3" footer="0.3"/>
  <pageSetup paperSize="9" scale="77" fitToHeight="0" orientation="landscape" r:id="rId1"/>
  <rowBreaks count="3" manualBreakCount="3">
    <brk id="26" max="16383" man="1"/>
    <brk id="68" max="9" man="1"/>
    <brk id="126" max="16383" man="1"/>
  </rowBreaks>
  <drawing r:id="rId2"/>
</worksheet>
</file>

<file path=docProps/app.xml><?xml version="1.0" encoding="utf-8"?>
<Properties xmlns="http://schemas.openxmlformats.org/officeDocument/2006/extended-properties" xmlns:vt="http://schemas.openxmlformats.org/officeDocument/2006/docPropsVTypes">
  <TotalTime>5098</TotalTime>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PROPOSTA</vt:lpstr>
      <vt:lpstr>SERVENTE REAL</vt:lpstr>
      <vt:lpstr>SERVENTE REAL - banherista</vt:lpstr>
      <vt:lpstr>ENCARREGADO</vt:lpstr>
      <vt:lpstr>VI - Demonstrativo final-REAL</vt:lpstr>
      <vt:lpstr>Transporte e alimentação</vt:lpstr>
      <vt:lpstr>Materiais e Uniformes</vt:lpstr>
      <vt:lpstr>ENCARREGADO!Area_de_impressao</vt:lpstr>
      <vt:lpstr>PROPOSTA!Area_de_impressao</vt:lpstr>
      <vt:lpstr>'SERVENTE REAL'!Area_de_impressao</vt:lpstr>
      <vt:lpstr>'SERVENTE REAL - banherista'!Area_de_impressao</vt:lpstr>
      <vt:lpstr>'Transporte e alimentação'!Area_de_impressao</vt:lpstr>
      <vt:lpstr>'VI - Demonstrativo final-REAL'!Area_de_impressao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dc:creator>
  <cp:lastModifiedBy>Alef de Sousa Silva</cp:lastModifiedBy>
  <cp:revision>25</cp:revision>
  <cp:lastPrinted>2022-03-28T13:55:04Z</cp:lastPrinted>
  <dcterms:created xsi:type="dcterms:W3CDTF">2009-04-16T11:32:48Z</dcterms:created>
  <dcterms:modified xsi:type="dcterms:W3CDTF">2022-05-18T12:25:23Z</dcterms:modified>
  <dc:language>pt-BR</dc:language>
</cp:coreProperties>
</file>